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13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2" hidden="1">Лист3!$A$4:$H$267</definedName>
    <definedName name="_xlnm._FilterDatabase" localSheetId="3" hidden="1">Лист4!$A$6:$G$208</definedName>
  </definedNames>
  <calcPr calcId="124519" refMode="R1C1"/>
</workbook>
</file>

<file path=xl/calcChain.xml><?xml version="1.0" encoding="utf-8"?>
<calcChain xmlns="http://schemas.openxmlformats.org/spreadsheetml/2006/main">
  <c r="G203" i="4"/>
  <c r="F203"/>
  <c r="G202"/>
  <c r="F202"/>
  <c r="G201"/>
  <c r="F201"/>
  <c r="G199"/>
  <c r="F199"/>
  <c r="G197"/>
  <c r="F197"/>
  <c r="G196"/>
  <c r="F196"/>
  <c r="G195"/>
  <c r="G194"/>
  <c r="F194"/>
  <c r="G193"/>
  <c r="F193"/>
  <c r="G258" i="3"/>
  <c r="H254"/>
  <c r="H253"/>
  <c r="H252" s="1"/>
  <c r="G253"/>
  <c r="G252" s="1"/>
  <c r="H256"/>
  <c r="G256"/>
  <c r="H258"/>
  <c r="F192" i="4" l="1"/>
  <c r="H255" i="3"/>
  <c r="H251" s="1"/>
  <c r="G255"/>
  <c r="G251"/>
  <c r="G192" i="4"/>
  <c r="G191" s="1"/>
  <c r="G190" s="1"/>
  <c r="F191"/>
  <c r="F190" s="1"/>
  <c r="H31" i="3"/>
  <c r="H30" s="1"/>
  <c r="H29" s="1"/>
  <c r="H40"/>
  <c r="G31" i="4"/>
  <c r="G30" s="1"/>
  <c r="G29" s="1"/>
  <c r="G46"/>
  <c r="H43" i="3"/>
  <c r="H44"/>
  <c r="H45"/>
  <c r="G43"/>
  <c r="G44"/>
  <c r="G45"/>
  <c r="G48" i="4"/>
  <c r="F48"/>
  <c r="F45" s="1"/>
  <c r="H50" i="3"/>
  <c r="H49" s="1"/>
  <c r="G185" i="4"/>
  <c r="G184" s="1"/>
  <c r="F185"/>
  <c r="F184" s="1"/>
  <c r="F183" s="1"/>
  <c r="H174" i="3"/>
  <c r="H173" s="1"/>
  <c r="H172" s="1"/>
  <c r="G172"/>
  <c r="G174"/>
  <c r="G173" s="1"/>
  <c r="G110" i="4"/>
  <c r="G109" s="1"/>
  <c r="H128" i="3"/>
  <c r="H127" s="1"/>
  <c r="F120" i="4"/>
  <c r="G138" i="3"/>
  <c r="G24" i="4"/>
  <c r="F14"/>
  <c r="G98"/>
  <c r="F98"/>
  <c r="G97"/>
  <c r="F97"/>
  <c r="G96"/>
  <c r="F96"/>
  <c r="G95"/>
  <c r="F95"/>
  <c r="G94"/>
  <c r="G93" s="1"/>
  <c r="G92" s="1"/>
  <c r="G91" s="1"/>
  <c r="F94"/>
  <c r="F93" s="1"/>
  <c r="F92" s="1"/>
  <c r="F91" s="1"/>
  <c r="G206"/>
  <c r="G205" s="1"/>
  <c r="F206"/>
  <c r="F205" s="1"/>
  <c r="G120"/>
  <c r="G119" s="1"/>
  <c r="G169"/>
  <c r="G166"/>
  <c r="F166"/>
  <c r="G163"/>
  <c r="F163"/>
  <c r="G154"/>
  <c r="F154"/>
  <c r="G149"/>
  <c r="G148" s="1"/>
  <c r="H164" i="3"/>
  <c r="H163" s="1"/>
  <c r="H162" s="1"/>
  <c r="G164"/>
  <c r="G163" s="1"/>
  <c r="F152" i="4" s="1"/>
  <c r="H155" i="3"/>
  <c r="H154" s="1"/>
  <c r="F145" i="4"/>
  <c r="G145"/>
  <c r="G146"/>
  <c r="G147"/>
  <c r="F147"/>
  <c r="F132"/>
  <c r="G132"/>
  <c r="G126"/>
  <c r="G124"/>
  <c r="G121"/>
  <c r="G111"/>
  <c r="G161" i="3"/>
  <c r="G160" s="1"/>
  <c r="G159" s="1"/>
  <c r="H138"/>
  <c r="G80" i="4"/>
  <c r="F80"/>
  <c r="G57"/>
  <c r="F57"/>
  <c r="F58"/>
  <c r="G53"/>
  <c r="F53"/>
  <c r="G22"/>
  <c r="G21"/>
  <c r="F21"/>
  <c r="G16"/>
  <c r="H15" i="3"/>
  <c r="H143"/>
  <c r="H142" s="1"/>
  <c r="H37"/>
  <c r="H140"/>
  <c r="H139" s="1"/>
  <c r="H229"/>
  <c r="H228" s="1"/>
  <c r="H113"/>
  <c r="H112" s="1"/>
  <c r="H111" s="1"/>
  <c r="H110" s="1"/>
  <c r="H109" s="1"/>
  <c r="H241"/>
  <c r="H240"/>
  <c r="H105"/>
  <c r="H103" s="1"/>
  <c r="G105"/>
  <c r="G103" s="1"/>
  <c r="H180"/>
  <c r="H179" s="1"/>
  <c r="H178" s="1"/>
  <c r="H177" s="1"/>
  <c r="H160"/>
  <c r="H159" s="1"/>
  <c r="H265"/>
  <c r="H264" s="1"/>
  <c r="H202"/>
  <c r="H201" s="1"/>
  <c r="H200" s="1"/>
  <c r="H187"/>
  <c r="H186" s="1"/>
  <c r="H185" s="1"/>
  <c r="H184" s="1"/>
  <c r="H183" s="1"/>
  <c r="G187"/>
  <c r="H148"/>
  <c r="H147" s="1"/>
  <c r="H144"/>
  <c r="H137"/>
  <c r="H129"/>
  <c r="G140"/>
  <c r="G143"/>
  <c r="G37"/>
  <c r="G27"/>
  <c r="F22" i="4" s="1"/>
  <c r="G15" i="3"/>
  <c r="G13" s="1"/>
  <c r="G12" s="1"/>
  <c r="G11" s="1"/>
  <c r="G157"/>
  <c r="G155" s="1"/>
  <c r="G199"/>
  <c r="F169" i="4" s="1"/>
  <c r="G229" i="3"/>
  <c r="G228" s="1"/>
  <c r="G240"/>
  <c r="G128"/>
  <c r="G113"/>
  <c r="G51"/>
  <c r="G50" s="1"/>
  <c r="H65"/>
  <c r="G65"/>
  <c r="G130"/>
  <c r="H75"/>
  <c r="H74" s="1"/>
  <c r="H73" s="1"/>
  <c r="H72" s="1"/>
  <c r="H78"/>
  <c r="H77" s="1"/>
  <c r="H76" s="1"/>
  <c r="G78"/>
  <c r="G77" s="1"/>
  <c r="G76" s="1"/>
  <c r="G75"/>
  <c r="G74" s="1"/>
  <c r="G73" s="1"/>
  <c r="G72" s="1"/>
  <c r="G230"/>
  <c r="G9"/>
  <c r="G8" s="1"/>
  <c r="G7" s="1"/>
  <c r="G202"/>
  <c r="G201" s="1"/>
  <c r="G200" s="1"/>
  <c r="G20"/>
  <c r="G45" i="4" l="1"/>
  <c r="G42" i="3"/>
  <c r="G39" s="1"/>
  <c r="H42"/>
  <c r="H39" s="1"/>
  <c r="F146" i="4"/>
  <c r="G153"/>
  <c r="F153"/>
  <c r="G108"/>
  <c r="G144"/>
  <c r="G143" s="1"/>
  <c r="G152"/>
  <c r="G151" s="1"/>
  <c r="F144"/>
  <c r="G118"/>
  <c r="H136" i="3"/>
  <c r="G186"/>
  <c r="G185" s="1"/>
  <c r="G184" s="1"/>
  <c r="H141"/>
  <c r="G227"/>
  <c r="G226" s="1"/>
  <c r="H71"/>
  <c r="G71"/>
  <c r="G265" l="1"/>
  <c r="G264" s="1"/>
  <c r="G162" l="1"/>
  <c r="G154"/>
  <c r="G137"/>
  <c r="G127"/>
  <c r="G129"/>
  <c r="G142"/>
  <c r="G139"/>
  <c r="G148"/>
  <c r="G147" s="1"/>
  <c r="G144"/>
  <c r="F151" i="4"/>
  <c r="F149"/>
  <c r="F148" s="1"/>
  <c r="F143"/>
  <c r="F124"/>
  <c r="G131"/>
  <c r="G130" s="1"/>
  <c r="G129" s="1"/>
  <c r="G128" s="1"/>
  <c r="H118" i="3"/>
  <c r="H117" s="1"/>
  <c r="G118"/>
  <c r="H168"/>
  <c r="G168"/>
  <c r="H123"/>
  <c r="G123"/>
  <c r="G122" s="1"/>
  <c r="G121" s="1"/>
  <c r="H231"/>
  <c r="G140" i="4"/>
  <c r="H230" i="3" s="1"/>
  <c r="H227" s="1"/>
  <c r="H226" s="1"/>
  <c r="G138" i="4"/>
  <c r="G123"/>
  <c r="G165"/>
  <c r="G164" s="1"/>
  <c r="G168"/>
  <c r="G167" s="1"/>
  <c r="G161"/>
  <c r="G172"/>
  <c r="G171" s="1"/>
  <c r="G77"/>
  <c r="H62" i="3" s="1"/>
  <c r="G74" i="4"/>
  <c r="H59" i="3" s="1"/>
  <c r="G71" i="4"/>
  <c r="H56" i="3" s="1"/>
  <c r="G68" i="4"/>
  <c r="G65"/>
  <c r="G61"/>
  <c r="F61"/>
  <c r="G36"/>
  <c r="H54" i="3"/>
  <c r="H55"/>
  <c r="H57"/>
  <c r="H58"/>
  <c r="H60"/>
  <c r="H61"/>
  <c r="H63"/>
  <c r="H64"/>
  <c r="H248"/>
  <c r="H239"/>
  <c r="H238" s="1"/>
  <c r="H237" s="1"/>
  <c r="G239"/>
  <c r="G238" s="1"/>
  <c r="G37" i="4"/>
  <c r="F37"/>
  <c r="F36"/>
  <c r="G58"/>
  <c r="H216" i="3" s="1"/>
  <c r="H217"/>
  <c r="H218"/>
  <c r="H209"/>
  <c r="H208" s="1"/>
  <c r="G209"/>
  <c r="H213"/>
  <c r="G213"/>
  <c r="H219"/>
  <c r="G219"/>
  <c r="H85"/>
  <c r="G85"/>
  <c r="H90"/>
  <c r="G90"/>
  <c r="F172" i="4"/>
  <c r="F131"/>
  <c r="F130" s="1"/>
  <c r="F129" s="1"/>
  <c r="G180" i="3"/>
  <c r="G178" i="4"/>
  <c r="G177" s="1"/>
  <c r="G176" s="1"/>
  <c r="G175" s="1"/>
  <c r="F178"/>
  <c r="F177" s="1"/>
  <c r="F176" s="1"/>
  <c r="F175" s="1"/>
  <c r="G182"/>
  <c r="G181" s="1"/>
  <c r="G180" s="1"/>
  <c r="G188"/>
  <c r="G187" s="1"/>
  <c r="F188"/>
  <c r="F187" s="1"/>
  <c r="F182"/>
  <c r="F181" s="1"/>
  <c r="F180" s="1"/>
  <c r="F168"/>
  <c r="F167" s="1"/>
  <c r="F162"/>
  <c r="F165"/>
  <c r="F164" s="1"/>
  <c r="F161"/>
  <c r="G156"/>
  <c r="G155" s="1"/>
  <c r="G142" s="1"/>
  <c r="F156"/>
  <c r="F155" s="1"/>
  <c r="F119"/>
  <c r="F121"/>
  <c r="F126"/>
  <c r="F111"/>
  <c r="F109"/>
  <c r="F138"/>
  <c r="F140"/>
  <c r="G115"/>
  <c r="G114" s="1"/>
  <c r="G113" s="1"/>
  <c r="G107" s="1"/>
  <c r="F115"/>
  <c r="F114" s="1"/>
  <c r="F113" s="1"/>
  <c r="G134"/>
  <c r="G133" s="1"/>
  <c r="F134"/>
  <c r="F133" s="1"/>
  <c r="G84"/>
  <c r="G83" s="1"/>
  <c r="G82" s="1"/>
  <c r="F84"/>
  <c r="F83" s="1"/>
  <c r="F82" s="1"/>
  <c r="G104"/>
  <c r="G103" s="1"/>
  <c r="G102" s="1"/>
  <c r="G101" s="1"/>
  <c r="G100" s="1"/>
  <c r="F104"/>
  <c r="F103" s="1"/>
  <c r="F102" s="1"/>
  <c r="F101" s="1"/>
  <c r="F100" s="1"/>
  <c r="G89"/>
  <c r="G88" s="1"/>
  <c r="G87" s="1"/>
  <c r="G86" s="1"/>
  <c r="F89"/>
  <c r="F88" s="1"/>
  <c r="F87" s="1"/>
  <c r="F86" s="1"/>
  <c r="F108" l="1"/>
  <c r="F118"/>
  <c r="F107"/>
  <c r="F123"/>
  <c r="F142"/>
  <c r="F160"/>
  <c r="F159" s="1"/>
  <c r="G160"/>
  <c r="G159" s="1"/>
  <c r="H53" i="3"/>
  <c r="H52" s="1"/>
  <c r="G67" i="4"/>
  <c r="G162"/>
  <c r="F137"/>
  <c r="F136" s="1"/>
  <c r="G117"/>
  <c r="G136" i="3"/>
  <c r="G141"/>
  <c r="F171" i="4"/>
  <c r="F170" s="1"/>
  <c r="G137"/>
  <c r="G136" s="1"/>
  <c r="G64"/>
  <c r="G170"/>
  <c r="F128"/>
  <c r="H215" i="3"/>
  <c r="H214" s="1"/>
  <c r="G106" i="4" l="1"/>
  <c r="F117"/>
  <c r="F106" s="1"/>
  <c r="F158"/>
  <c r="G158"/>
  <c r="G216" i="3" l="1"/>
  <c r="G215" s="1"/>
  <c r="G214" s="1"/>
  <c r="G56" i="4"/>
  <c r="G52" s="1"/>
  <c r="G44" s="1"/>
  <c r="G42"/>
  <c r="G41" s="1"/>
  <c r="G40" s="1"/>
  <c r="G39" s="1"/>
  <c r="G26"/>
  <c r="H10" i="3"/>
  <c r="H14"/>
  <c r="H16"/>
  <c r="G55"/>
  <c r="G58"/>
  <c r="G61"/>
  <c r="G63"/>
  <c r="G64"/>
  <c r="F69" i="4"/>
  <c r="F72"/>
  <c r="F71" s="1"/>
  <c r="G56" i="3" s="1"/>
  <c r="F75" i="4"/>
  <c r="G60" i="3" s="1"/>
  <c r="F77" i="4"/>
  <c r="G62" i="3" s="1"/>
  <c r="F65" i="4"/>
  <c r="F56"/>
  <c r="F52" s="1"/>
  <c r="F42"/>
  <c r="F41" s="1"/>
  <c r="F40" s="1"/>
  <c r="F39" s="1"/>
  <c r="F27"/>
  <c r="F24" s="1"/>
  <c r="G14"/>
  <c r="G10"/>
  <c r="F10"/>
  <c r="G9" l="1"/>
  <c r="G8" s="1"/>
  <c r="H7" i="3" s="1"/>
  <c r="F68" i="4"/>
  <c r="G53" i="3" s="1"/>
  <c r="G54"/>
  <c r="H13"/>
  <c r="H12" s="1"/>
  <c r="H11" s="1"/>
  <c r="F64" i="4"/>
  <c r="F9"/>
  <c r="F74"/>
  <c r="G59" i="3" s="1"/>
  <c r="F13" i="4"/>
  <c r="F12" s="1"/>
  <c r="H8" i="3"/>
  <c r="G13" i="4"/>
  <c r="G57" i="3"/>
  <c r="H9"/>
  <c r="F67" i="4" l="1"/>
  <c r="F44" s="1"/>
  <c r="G52" i="3"/>
  <c r="F8" i="4"/>
  <c r="G12"/>
  <c r="H19" i="3" l="1"/>
  <c r="H18" s="1"/>
  <c r="H17" s="1"/>
  <c r="H28"/>
  <c r="H36"/>
  <c r="H35" s="1"/>
  <c r="H34" s="1"/>
  <c r="H33" s="1"/>
  <c r="H47"/>
  <c r="H46" s="1"/>
  <c r="H38" s="1"/>
  <c r="H69"/>
  <c r="H68" s="1"/>
  <c r="H67" s="1"/>
  <c r="H84"/>
  <c r="H83" s="1"/>
  <c r="H82" s="1"/>
  <c r="H81" s="1"/>
  <c r="H80" s="1"/>
  <c r="H89"/>
  <c r="H88" s="1"/>
  <c r="H98"/>
  <c r="H106"/>
  <c r="H102" s="1"/>
  <c r="H101" s="1"/>
  <c r="H100" s="1"/>
  <c r="H108"/>
  <c r="H122"/>
  <c r="H121" s="1"/>
  <c r="H116" s="1"/>
  <c r="H115" s="1"/>
  <c r="H133"/>
  <c r="H132" s="1"/>
  <c r="H131" s="1"/>
  <c r="H126" s="1"/>
  <c r="H125" s="1"/>
  <c r="H146"/>
  <c r="H151"/>
  <c r="H150" s="1"/>
  <c r="H167"/>
  <c r="H166" s="1"/>
  <c r="H153" s="1"/>
  <c r="H171"/>
  <c r="H169" s="1"/>
  <c r="H192"/>
  <c r="H195"/>
  <c r="H194" s="1"/>
  <c r="H198"/>
  <c r="H197" s="1"/>
  <c r="H212"/>
  <c r="H224"/>
  <c r="H233"/>
  <c r="H232" s="1"/>
  <c r="H244"/>
  <c r="H243" s="1"/>
  <c r="H246"/>
  <c r="H261"/>
  <c r="H260" s="1"/>
  <c r="H262"/>
  <c r="G262"/>
  <c r="G261"/>
  <c r="G260" s="1"/>
  <c r="G246"/>
  <c r="G244"/>
  <c r="G243" s="1"/>
  <c r="G237"/>
  <c r="G233"/>
  <c r="G232" s="1"/>
  <c r="G224"/>
  <c r="G223" s="1"/>
  <c r="G212"/>
  <c r="G208"/>
  <c r="G198"/>
  <c r="G197" s="1"/>
  <c r="G195"/>
  <c r="G194" s="1"/>
  <c r="G192"/>
  <c r="G179"/>
  <c r="G178" s="1"/>
  <c r="G177" s="1"/>
  <c r="G171"/>
  <c r="G167"/>
  <c r="G166" s="1"/>
  <c r="G153" s="1"/>
  <c r="G151"/>
  <c r="G150" s="1"/>
  <c r="G133"/>
  <c r="G132" s="1"/>
  <c r="G131" s="1"/>
  <c r="G117"/>
  <c r="G116" s="1"/>
  <c r="G115" s="1"/>
  <c r="G112"/>
  <c r="G111" s="1"/>
  <c r="G110" s="1"/>
  <c r="G109" s="1"/>
  <c r="G108" s="1"/>
  <c r="G106"/>
  <c r="G102" s="1"/>
  <c r="G101" s="1"/>
  <c r="G100" s="1"/>
  <c r="G98"/>
  <c r="G89"/>
  <c r="G88" s="1"/>
  <c r="G87" s="1"/>
  <c r="G84"/>
  <c r="G83" s="1"/>
  <c r="G82" s="1"/>
  <c r="G81" s="1"/>
  <c r="G80" s="1"/>
  <c r="G69"/>
  <c r="G68" s="1"/>
  <c r="G67" s="1"/>
  <c r="G49"/>
  <c r="G47"/>
  <c r="G46" s="1"/>
  <c r="G36"/>
  <c r="G35" s="1"/>
  <c r="G34" s="1"/>
  <c r="G33" s="1"/>
  <c r="G28"/>
  <c r="G25" s="1"/>
  <c r="G19"/>
  <c r="G18" s="1"/>
  <c r="G17" s="1"/>
  <c r="B26" i="2"/>
  <c r="B25"/>
  <c r="B24"/>
  <c r="B23"/>
  <c r="B22"/>
  <c r="B21"/>
  <c r="B20"/>
  <c r="B19"/>
  <c r="B18"/>
  <c r="B17"/>
  <c r="B16"/>
  <c r="B15"/>
  <c r="B14"/>
  <c r="B12"/>
  <c r="B11"/>
  <c r="B10"/>
  <c r="B9"/>
  <c r="D26"/>
  <c r="D25"/>
  <c r="D24"/>
  <c r="D23"/>
  <c r="D22"/>
  <c r="D21"/>
  <c r="D20"/>
  <c r="D19"/>
  <c r="D18"/>
  <c r="D17"/>
  <c r="D16"/>
  <c r="D15"/>
  <c r="D14"/>
  <c r="D12"/>
  <c r="D11"/>
  <c r="D10"/>
  <c r="D9"/>
  <c r="E28"/>
  <c r="C28"/>
  <c r="D13"/>
  <c r="B13"/>
  <c r="D28"/>
  <c r="C25" i="1"/>
  <c r="B25"/>
  <c r="G38" i="3" l="1"/>
  <c r="G170"/>
  <c r="G169"/>
  <c r="G207"/>
  <c r="G206" s="1"/>
  <c r="H242"/>
  <c r="H236" s="1"/>
  <c r="G242"/>
  <c r="G236" s="1"/>
  <c r="H207"/>
  <c r="H206" s="1"/>
  <c r="G6"/>
  <c r="H6"/>
  <c r="G191"/>
  <c r="G190" s="1"/>
  <c r="G189" s="1"/>
  <c r="H223"/>
  <c r="H222" s="1"/>
  <c r="H221" s="1"/>
  <c r="K139"/>
  <c r="H191"/>
  <c r="H190" s="1"/>
  <c r="H189" s="1"/>
  <c r="H176" s="1"/>
  <c r="H135"/>
  <c r="H124" s="1"/>
  <c r="F23" i="4"/>
  <c r="F20" s="1"/>
  <c r="G23"/>
  <c r="G20" s="1"/>
  <c r="H25" i="3"/>
  <c r="G126"/>
  <c r="G125" s="1"/>
  <c r="G222"/>
  <c r="G221" s="1"/>
  <c r="G183"/>
  <c r="G146"/>
  <c r="G135" s="1"/>
  <c r="G95"/>
  <c r="G94" s="1"/>
  <c r="G93" s="1"/>
  <c r="G91" s="1"/>
  <c r="F38" i="4"/>
  <c r="H95" i="3"/>
  <c r="H94" s="1"/>
  <c r="H93" s="1"/>
  <c r="G38" i="4"/>
  <c r="H99" i="3"/>
  <c r="H250"/>
  <c r="H249" s="1"/>
  <c r="G250"/>
  <c r="G249" s="1"/>
  <c r="G86"/>
  <c r="G99"/>
  <c r="H86"/>
  <c r="H87"/>
  <c r="H170"/>
  <c r="B28" i="2"/>
  <c r="F19" i="4" l="1"/>
  <c r="F18" s="1"/>
  <c r="G19"/>
  <c r="G18" s="1"/>
  <c r="H5" i="3"/>
  <c r="H91"/>
  <c r="H114"/>
  <c r="G205"/>
  <c r="H24"/>
  <c r="H23" s="1"/>
  <c r="G24"/>
  <c r="G23" s="1"/>
  <c r="G35" i="4"/>
  <c r="G34" s="1"/>
  <c r="G33" s="1"/>
  <c r="F35"/>
  <c r="F34" s="1"/>
  <c r="F33" s="1"/>
  <c r="H235" i="3"/>
  <c r="G235"/>
  <c r="H22"/>
  <c r="H21" s="1"/>
  <c r="H205"/>
  <c r="G176"/>
  <c r="G22"/>
  <c r="G124"/>
  <c r="G92"/>
  <c r="H92"/>
  <c r="G5"/>
  <c r="G7" i="4" l="1"/>
  <c r="F7"/>
  <c r="F208" s="1"/>
  <c r="G208"/>
  <c r="G21" i="3"/>
  <c r="G114"/>
  <c r="H267"/>
  <c r="G267" l="1"/>
</calcChain>
</file>

<file path=xl/sharedStrings.xml><?xml version="1.0" encoding="utf-8"?>
<sst xmlns="http://schemas.openxmlformats.org/spreadsheetml/2006/main" count="2604" uniqueCount="265">
  <si>
    <t>Приложение 14</t>
  </si>
  <si>
    <t xml:space="preserve">к   Решению Совета  Черемшанского муниципального района № 65 от 16.12.2011 года  </t>
  </si>
  <si>
    <t>(тыс.руб.)</t>
  </si>
  <si>
    <t>Наименование СП</t>
  </si>
  <si>
    <t xml:space="preserve">Беркетключевское </t>
  </si>
  <si>
    <t>Верхнекаменское</t>
  </si>
  <si>
    <t>Ивашкинское</t>
  </si>
  <si>
    <t>Карамышевское</t>
  </si>
  <si>
    <t>Кутеминское</t>
  </si>
  <si>
    <t>Мордоафонькинское</t>
  </si>
  <si>
    <t>Нижнекаменское</t>
  </si>
  <si>
    <t>Нижнекармалкинское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</si>
  <si>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</si>
  <si>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</si>
  <si>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</si>
  <si>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</si>
  <si>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</si>
  <si>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</si>
  <si>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Черемшанское</t>
  </si>
  <si>
    <t>Шешминское</t>
  </si>
  <si>
    <t>Всего</t>
  </si>
  <si>
    <t>Председатель ФБП Черемшанского муниципального района</t>
  </si>
  <si>
    <t>Ш.Ф.Гатин</t>
  </si>
  <si>
    <t>Дотации бюджетам поселений на поддержку мер по обеспечению сбалансированности бюджетов на  плановый период 2015-2016 годов</t>
  </si>
  <si>
    <t>Лашманское</t>
  </si>
  <si>
    <t>Новоильмовское</t>
  </si>
  <si>
    <t>Приложение 12</t>
  </si>
  <si>
    <t>в том числе поступления из средств поступивших от Республики Татарстан</t>
  </si>
  <si>
    <t xml:space="preserve">Лашманское </t>
  </si>
  <si>
    <t>Председатель</t>
  </si>
  <si>
    <t>ФБП Черемшанского муниципального района</t>
  </si>
  <si>
    <t>Дотации бюджетам поселений на выравнивание уровня бюджетной обеспеченности поселений на  плановый период 2015-2016 годов</t>
  </si>
  <si>
    <t>тыс.руб.</t>
  </si>
  <si>
    <t>Наименование</t>
  </si>
  <si>
    <t>Ведомство</t>
  </si>
  <si>
    <t>Рз</t>
  </si>
  <si>
    <t>ПР</t>
  </si>
  <si>
    <t>ЦСР</t>
  </si>
  <si>
    <t>ВР</t>
  </si>
  <si>
    <t xml:space="preserve">Совет Черемшанского мунципального района </t>
  </si>
  <si>
    <t>00</t>
  </si>
  <si>
    <t xml:space="preserve">000 00 00 </t>
  </si>
  <si>
    <t>000</t>
  </si>
  <si>
    <t>Общегосударственные вопросы</t>
  </si>
  <si>
    <t>01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</si>
  <si>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</si>
  <si>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</si>
  <si>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</si>
  <si>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</si>
  <si>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</si>
  <si>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</si>
  <si>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</si>
  <si>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</si>
  <si>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</si>
  <si>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</si>
  <si>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</si>
  <si>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002 04 00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</si>
  <si>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</si>
  <si>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</si>
  <si>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</si>
  <si>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</si>
  <si>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</si>
  <si>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</si>
  <si>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</si>
  <si>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002 95 00</t>
  </si>
  <si>
    <t xml:space="preserve">Исполнительный комитет Черемшанского мунципального района </t>
  </si>
  <si>
    <t>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</si>
  <si>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</si>
  <si>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</si>
  <si>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</si>
  <si>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Выполнение функций органами местного самоуправления</t>
  </si>
  <si>
    <t>Резервные фонды</t>
  </si>
  <si>
    <t>11</t>
  </si>
  <si>
    <t>070 00 00</t>
  </si>
  <si>
    <t>Реервные фонды органов местного самоуправления</t>
  </si>
  <si>
    <t>Резервные фонды местных администраций</t>
  </si>
  <si>
    <t>070 05 00</t>
  </si>
  <si>
    <t>Учреждения культуры и мероприятия в сфере культуры и кинематографии</t>
  </si>
  <si>
    <t>440 00 00</t>
  </si>
  <si>
    <t>Обеспечение деятельности подведомственных учреждений</t>
  </si>
  <si>
    <t>440 99 00</t>
  </si>
  <si>
    <t>Межбюджетные трансферты</t>
  </si>
  <si>
    <t>521 00 00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</si>
  <si>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</si>
  <si>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521 02 06</t>
  </si>
  <si>
    <t>Реализация государственных полномочий по образованию и организации деятельности административных комиссий</t>
  </si>
  <si>
    <t>521 02 07</t>
  </si>
  <si>
    <t>Реализация государственных полномочий по организации и осуществлению деятельности по опеке и попечительству</t>
  </si>
  <si>
    <t>521 02 13</t>
  </si>
  <si>
    <t>Реализация государственных полномочий в области архивного дела</t>
  </si>
  <si>
    <t>521 02 14</t>
  </si>
  <si>
    <t xml:space="preserve">Национальная оборона 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</si>
  <si>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</si>
  <si>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</si>
  <si>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</si>
  <si>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001 51 18</t>
  </si>
  <si>
    <t>500</t>
  </si>
  <si>
    <t xml:space="preserve">Охрана окружающей среды  </t>
  </si>
  <si>
    <t>06</t>
  </si>
  <si>
    <t>Охрана объектов растительного и животного мира и среды их обитания</t>
  </si>
  <si>
    <t>Охрана объектов растительного и животного мира и среды их обитания  состояние окружающей среды и природопользования</t>
  </si>
  <si>
    <t>410 00 00</t>
  </si>
  <si>
    <t>Природохранные мероприятия</t>
  </si>
  <si>
    <t>410 01 00</t>
  </si>
  <si>
    <t>Программа природохранных мероприятий муниципального района</t>
  </si>
  <si>
    <t>410 01 03</t>
  </si>
  <si>
    <t>Здравоохранение</t>
  </si>
  <si>
    <t>09</t>
  </si>
  <si>
    <t>Санитарно-эпидимеологическое благополучие</t>
  </si>
  <si>
    <t>07</t>
  </si>
  <si>
    <t>Реализация государственных полномочий по проведению противоэпедимических мероприятий,осуществляемых в целях предупреждения,ограничения распространения и ликвидации инфекционных болезней,в том числе проведению профилактических прививок по эпидимическим показаниям,дезинфекции,дезинсекции и дератизации в очагах инфекционных заболевания,а также на территориях и помещениях , где имеются и сохраняются условия для возникновения и распространения инфекционных заболеваний</t>
  </si>
  <si>
    <t>521 02 11</t>
  </si>
  <si>
    <t xml:space="preserve">Контрольно-счетная палата Черемшанского муниципального района </t>
  </si>
  <si>
    <t>013</t>
  </si>
  <si>
    <t>Обеспечение деятельности финансовых,налоговых и таможенных органов и органов надзора</t>
  </si>
  <si>
    <t>Палата имущественных и земельных отношений Черемшанского мунципального района Республики Татарстан</t>
  </si>
  <si>
    <t>Муниципальное казенное учреждение "Управление гражданской защиты Черемшанского муниципального района"</t>
  </si>
  <si>
    <t>112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</si>
  <si>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</si>
  <si>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</si>
  <si>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</si>
  <si>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</si>
  <si>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</si>
  <si>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</si>
  <si>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Муниципальное учреждение"Отдел образования" Исполнительного комитета Черемшанского мунципального района Республики Татарстан"</t>
  </si>
  <si>
    <t>076</t>
  </si>
  <si>
    <t>Субвенции на реализацию государственных полномочий в области образования</t>
  </si>
  <si>
    <t>521 02 05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</si>
  <si>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</si>
  <si>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</si>
  <si>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</si>
  <si>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</si>
  <si>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деятельсти подведомственных учреждений</t>
  </si>
  <si>
    <t>420 99 00</t>
  </si>
  <si>
    <t>Субсидии бюджетным учреждениям</t>
  </si>
  <si>
    <t>600</t>
  </si>
  <si>
    <t xml:space="preserve">Государственная программа «Управление государственными финансами Республики Татарстан на 2014 – 2016 годы»  </t>
  </si>
  <si>
    <t>420 80 05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</si>
  <si>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</si>
  <si>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</si>
  <si>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</si>
  <si>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521 02 17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</si>
  <si>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</si>
  <si>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</si>
  <si>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</si>
  <si>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</si>
  <si>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421 80 05</t>
  </si>
  <si>
    <t>Школы-интернаты</t>
  </si>
  <si>
    <t>422 00 00</t>
  </si>
  <si>
    <t>422 99 00</t>
  </si>
  <si>
    <t>422 80 05</t>
  </si>
  <si>
    <t>Учреждения по внешкольной работе с детьми</t>
  </si>
  <si>
    <t>423 00 00</t>
  </si>
  <si>
    <t>423 99 00</t>
  </si>
  <si>
    <t>423 80 05</t>
  </si>
  <si>
    <t>Субвенции на обеспечение госгарантий прав граждан на получение общего образования, а таже доп.образования в общеобразовательных учреждениях</t>
  </si>
  <si>
    <t>521 02 08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</si>
  <si>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</si>
  <si>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</si>
  <si>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</si>
  <si>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</si>
  <si>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432 80 05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</si>
  <si>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</si>
  <si>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</si>
  <si>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</si>
  <si>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435 99 00</t>
  </si>
  <si>
    <t>Мероприятия в области образования</t>
  </si>
  <si>
    <t>436 00 00</t>
  </si>
  <si>
    <t>Проведение мероприятий для детей и молодежи</t>
  </si>
  <si>
    <t>436 09 00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</si>
  <si>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</si>
  <si>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</si>
  <si>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</si>
  <si>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Реализация государственных полномочий по осуществлению информационного обеспечения образовательных учреждений</t>
  </si>
  <si>
    <t>521 02 10</t>
  </si>
  <si>
    <t>Социальная политика</t>
  </si>
  <si>
    <t>10</t>
  </si>
  <si>
    <t>Социальное обеспечение</t>
  </si>
  <si>
    <t>Оказание других видов социальной помощи</t>
  </si>
  <si>
    <t>505 85 00</t>
  </si>
  <si>
    <t>Муниципальное учреждение"Отдел культуры" Исполнительного комитета Черемшанского мунципального района Республики Татарстан"</t>
  </si>
  <si>
    <t>058</t>
  </si>
  <si>
    <t>Культура, кинематография и средства массовой информации</t>
  </si>
  <si>
    <t>08</t>
  </si>
  <si>
    <t xml:space="preserve">00 </t>
  </si>
  <si>
    <t>Культура</t>
  </si>
  <si>
    <t xml:space="preserve"> Учреждения культуры и мероприятия в сфере культуры и кинематографии   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</si>
  <si>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</si>
  <si>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</si>
  <si>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</si>
  <si>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</si>
  <si>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</si>
  <si>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</si>
  <si>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Другие вопросы в области культуры,кинематографии</t>
  </si>
  <si>
    <t xml:space="preserve">04 </t>
  </si>
  <si>
    <t>Муниципальное учреждение"Отдел по делам молодежи и спорта" Исполкома Черемшанского мунципального района Республики Татарстан</t>
  </si>
  <si>
    <t>169</t>
  </si>
  <si>
    <t>Субвенции на реализацию государственных полномочий в области государственной молодежной политики</t>
  </si>
  <si>
    <t>521 02 04</t>
  </si>
  <si>
    <t>002 99 00</t>
  </si>
  <si>
    <t>Массовый спорт</t>
  </si>
  <si>
    <t>Мероприятия в области физкультуры культуры и спорта</t>
  </si>
  <si>
    <t>512 97 00</t>
  </si>
  <si>
    <t>Финансово-бюджетная палата</t>
  </si>
  <si>
    <t>Выполнение других обязательств государства</t>
  </si>
  <si>
    <t>092 03 00</t>
  </si>
  <si>
    <t>Межбюджетные трансферты бюджетам субъектов РФ и  муниципальных образований общего характера</t>
  </si>
  <si>
    <t>14</t>
  </si>
  <si>
    <t>Дотации на выравнивание бюджетной обеспеченности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</si>
  <si>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</si>
  <si>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</si>
  <si>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</si>
  <si>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</si>
  <si>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</si>
  <si>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Фонд финансовой поддержки</t>
  </si>
  <si>
    <t>008</t>
  </si>
  <si>
    <t>Иные дотации</t>
  </si>
  <si>
    <t>Дотации</t>
  </si>
  <si>
    <t>517 00 00</t>
  </si>
  <si>
    <t>Поддержка мер по обеспечению сбалансированности бюджетов</t>
  </si>
  <si>
    <t>517 02 00</t>
  </si>
  <si>
    <t>Прочие дотации</t>
  </si>
  <si>
    <t>007</t>
  </si>
  <si>
    <t>2015</t>
  </si>
  <si>
    <t>2016</t>
  </si>
  <si>
    <t xml:space="preserve">к  Решению Совета  Черемшанского муниципального района № 65 от 16.12.2011 года </t>
  </si>
  <si>
    <t>Cубсидии бюджетным учреждениям</t>
  </si>
  <si>
    <t>165</t>
  </si>
  <si>
    <t>Условно утвержденные расходы</t>
  </si>
  <si>
    <t>99</t>
  </si>
  <si>
    <t>999 00 00</t>
  </si>
  <si>
    <t>Национальная экономика</t>
  </si>
  <si>
    <t>Сельское хозяйство и рыболовство</t>
  </si>
  <si>
    <t>05</t>
  </si>
  <si>
    <t>Госполномочия в сфере организаций проведения мероприятий по предупреждению и ликвидации болезней животных , их лечению, защите населения от болезней, общих для человека и животных</t>
  </si>
  <si>
    <t>521 02 16</t>
  </si>
  <si>
    <t xml:space="preserve">05 </t>
  </si>
  <si>
    <t>Дорожное хозяйство (дорожные фонды)</t>
  </si>
  <si>
    <t>Дорожное хозяйство</t>
  </si>
  <si>
    <t>315 00 00</t>
  </si>
  <si>
    <t>Программа дорожных работ</t>
  </si>
  <si>
    <t>315 05 00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</si>
  <si>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</si>
  <si>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521 02 15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</si>
  <si>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</si>
  <si>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образования"</t>
  </si>
  <si>
    <t>520 10 10</t>
  </si>
  <si>
    <t>Социальное обеспечение и иные выплаты населению</t>
  </si>
  <si>
    <t>300</t>
  </si>
  <si>
    <t>Ведомственная   структура расходов  районного бюджета Черемшанского муниципального района  на плановый период 2015 и 2016 годов</t>
  </si>
  <si>
    <t>Распределение бюджетных ассигнований по разделам и подразделам,целевым статьям и видам расходов классификации расходов районного бюджета на плановый период 2015-2016 годы</t>
  </si>
  <si>
    <t>Приложение   10</t>
  </si>
  <si>
    <t>Приложение   12</t>
  </si>
  <si>
    <t>Приложение   8</t>
  </si>
  <si>
    <t xml:space="preserve">Государственная регистрация актов гражданского состояния </t>
  </si>
  <si>
    <t xml:space="preserve">001 51 19 </t>
  </si>
  <si>
    <t>Проведение Всероссийской сельхозяйственной переписи в 2016 году</t>
  </si>
  <si>
    <t>001 20 20</t>
  </si>
  <si>
    <t>Судебная система</t>
  </si>
  <si>
    <t>001 51 20</t>
  </si>
  <si>
    <t>Составление (изменение) списоков кандидатов в присяжные заседатели судов общей юрисдикции в Российской Федерации</t>
  </si>
  <si>
    <t>516 80 06</t>
  </si>
  <si>
    <t>516 80 04</t>
  </si>
  <si>
    <t>Выравнивание бюджетной обеспеченности и предоставление иных межбюджетных трансфертов бюджетам поселений</t>
  </si>
  <si>
    <t>516 80 00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</si>
</sst>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/>
    <xf numFmtId="4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Border="1"/>
    <xf numFmtId="0" fontId="1" fillId="0" borderId="0" xfId="0" applyFont="1" applyAlignment="1">
      <alignment vertical="top" wrapText="1"/>
    </xf>
    <xf numFmtId="49" fontId="1" fillId="0" borderId="0" xfId="0" applyNumberFormat="1" applyFont="1"/>
    <xf numFmtId="0" fontId="1" fillId="0" borderId="0" xfId="0" applyFont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4" fontId="0" fillId="0" borderId="0" xfId="0" applyNumberForma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ill="1"/>
    <xf numFmtId="0" fontId="0" fillId="0" borderId="10" xfId="0" applyFill="1" applyBorder="1" applyAlignment="1">
      <alignment horizontal="right"/>
    </xf>
    <xf numFmtId="0" fontId="0" fillId="3" borderId="0" xfId="0" applyFill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4" fontId="1" fillId="0" borderId="0" xfId="0" applyNumberFormat="1" applyFont="1" applyFill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9" fontId="4" fillId="0" borderId="14" xfId="0" applyNumberFormat="1" applyFont="1" applyFill="1" applyBorder="1"/>
    <xf numFmtId="49" fontId="4" fillId="0" borderId="14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wrapText="1"/>
    </xf>
    <xf numFmtId="49" fontId="5" fillId="0" borderId="14" xfId="0" applyNumberFormat="1" applyFont="1" applyFill="1" applyBorder="1"/>
    <xf numFmtId="0" fontId="5" fillId="0" borderId="14" xfId="0" applyFont="1" applyBorder="1" applyAlignment="1">
      <alignment wrapText="1"/>
    </xf>
    <xf numFmtId="49" fontId="5" fillId="0" borderId="14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/>
    <xf numFmtId="49" fontId="4" fillId="3" borderId="14" xfId="0" applyNumberFormat="1" applyFont="1" applyFill="1" applyBorder="1"/>
    <xf numFmtId="49" fontId="7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wrapText="1"/>
    </xf>
    <xf numFmtId="49" fontId="7" fillId="0" borderId="14" xfId="0" applyNumberFormat="1" applyFont="1" applyFill="1" applyBorder="1"/>
    <xf numFmtId="4" fontId="5" fillId="0" borderId="14" xfId="0" applyNumberFormat="1" applyFont="1" applyFill="1" applyBorder="1"/>
    <xf numFmtId="49" fontId="7" fillId="4" borderId="14" xfId="0" applyNumberFormat="1" applyFont="1" applyFill="1" applyBorder="1" applyAlignment="1">
      <alignment wrapText="1"/>
    </xf>
    <xf numFmtId="49" fontId="7" fillId="4" borderId="14" xfId="0" applyNumberFormat="1" applyFont="1" applyFill="1" applyBorder="1"/>
    <xf numFmtId="49" fontId="7" fillId="4" borderId="14" xfId="0" applyNumberFormat="1" applyFont="1" applyFill="1" applyBorder="1" applyAlignment="1">
      <alignment horizontal="left"/>
    </xf>
    <xf numFmtId="49" fontId="7" fillId="4" borderId="14" xfId="0" applyNumberFormat="1" applyFont="1" applyFill="1" applyBorder="1" applyAlignment="1"/>
    <xf numFmtId="4" fontId="4" fillId="0" borderId="14" xfId="0" applyNumberFormat="1" applyFont="1" applyFill="1" applyBorder="1"/>
    <xf numFmtId="0" fontId="4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right" wrapText="1"/>
    </xf>
    <xf numFmtId="49" fontId="4" fillId="3" borderId="14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right" wrapText="1"/>
    </xf>
    <xf numFmtId="49" fontId="7" fillId="2" borderId="11" xfId="0" applyNumberFormat="1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49" fontId="7" fillId="3" borderId="11" xfId="0" applyNumberFormat="1" applyFont="1" applyFill="1" applyBorder="1" applyAlignment="1">
      <alignment horizontal="right" wrapText="1"/>
    </xf>
    <xf numFmtId="49" fontId="7" fillId="3" borderId="11" xfId="0" applyNumberFormat="1" applyFont="1" applyFill="1" applyBorder="1" applyAlignment="1">
      <alignment horizontal="left"/>
    </xf>
    <xf numFmtId="49" fontId="7" fillId="3" borderId="11" xfId="0" applyNumberFormat="1" applyFont="1" applyFill="1" applyBorder="1"/>
    <xf numFmtId="0" fontId="7" fillId="3" borderId="13" xfId="0" applyFont="1" applyFill="1" applyBorder="1" applyAlignment="1">
      <alignment wrapText="1"/>
    </xf>
    <xf numFmtId="49" fontId="7" fillId="3" borderId="14" xfId="0" applyNumberFormat="1" applyFont="1" applyFill="1" applyBorder="1" applyAlignment="1">
      <alignment horizontal="left"/>
    </xf>
    <xf numFmtId="49" fontId="7" fillId="2" borderId="14" xfId="0" applyNumberFormat="1" applyFont="1" applyFill="1" applyBorder="1"/>
    <xf numFmtId="49" fontId="7" fillId="2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justify" wrapText="1"/>
    </xf>
    <xf numFmtId="4" fontId="7" fillId="4" borderId="14" xfId="0" applyNumberFormat="1" applyFont="1" applyFill="1" applyBorder="1"/>
    <xf numFmtId="0" fontId="5" fillId="0" borderId="14" xfId="0" applyFont="1" applyFill="1" applyBorder="1" applyAlignment="1">
      <alignment vertical="top" wrapText="1"/>
    </xf>
    <xf numFmtId="49" fontId="7" fillId="2" borderId="14" xfId="0" applyNumberFormat="1" applyFont="1" applyFill="1" applyBorder="1" applyAlignment="1">
      <alignment horizontal="right" wrapText="1"/>
    </xf>
    <xf numFmtId="49" fontId="5" fillId="0" borderId="14" xfId="0" applyNumberFormat="1" applyFont="1" applyFill="1" applyBorder="1" applyAlignment="1">
      <alignment horizontal="right" wrapText="1"/>
    </xf>
    <xf numFmtId="49" fontId="5" fillId="0" borderId="14" xfId="0" applyNumberFormat="1" applyFont="1" applyBorder="1" applyAlignment="1">
      <alignment horizontal="right" wrapText="1"/>
    </xf>
    <xf numFmtId="49" fontId="7" fillId="4" borderId="1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wrapText="1"/>
    </xf>
    <xf numFmtId="4" fontId="7" fillId="0" borderId="14" xfId="0" applyNumberFormat="1" applyFont="1" applyFill="1" applyBorder="1"/>
    <xf numFmtId="49" fontId="7" fillId="3" borderId="14" xfId="0" applyNumberFormat="1" applyFont="1" applyFill="1" applyBorder="1" applyAlignment="1">
      <alignment horizontal="right" wrapText="1"/>
    </xf>
    <xf numFmtId="49" fontId="7" fillId="2" borderId="14" xfId="0" applyNumberFormat="1" applyFont="1" applyFill="1" applyBorder="1" applyAlignment="1"/>
    <xf numFmtId="49" fontId="7" fillId="0" borderId="14" xfId="0" applyNumberFormat="1" applyFont="1" applyBorder="1" applyAlignment="1">
      <alignment horizontal="right" wrapText="1"/>
    </xf>
    <xf numFmtId="4" fontId="5" fillId="0" borderId="14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9" fontId="7" fillId="2" borderId="14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4" fontId="4" fillId="3" borderId="14" xfId="0" applyNumberFormat="1" applyFont="1" applyFill="1" applyBorder="1"/>
    <xf numFmtId="0" fontId="5" fillId="0" borderId="14" xfId="0" applyFont="1" applyFill="1" applyBorder="1"/>
    <xf numFmtId="0" fontId="7" fillId="0" borderId="14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 wrapText="1"/>
    </xf>
    <xf numFmtId="0" fontId="7" fillId="0" borderId="14" xfId="0" applyFont="1" applyFill="1" applyBorder="1"/>
    <xf numFmtId="0" fontId="4" fillId="0" borderId="14" xfId="0" applyFont="1" applyFill="1" applyBorder="1"/>
    <xf numFmtId="0" fontId="5" fillId="0" borderId="14" xfId="0" applyNumberFormat="1" applyFont="1" applyFill="1" applyBorder="1" applyAlignment="1">
      <alignment wrapText="1"/>
    </xf>
    <xf numFmtId="0" fontId="4" fillId="3" borderId="14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4" fontId="7" fillId="3" borderId="17" xfId="0" applyNumberFormat="1" applyFont="1" applyFill="1" applyBorder="1" applyAlignment="1">
      <alignment horizontal="right" wrapText="1"/>
    </xf>
    <xf numFmtId="0" fontId="4" fillId="0" borderId="0" xfId="0" applyFont="1"/>
    <xf numFmtId="0" fontId="7" fillId="5" borderId="14" xfId="0" applyFont="1" applyFill="1" applyBorder="1" applyAlignment="1">
      <alignment vertical="top" wrapText="1"/>
    </xf>
    <xf numFmtId="49" fontId="7" fillId="5" borderId="14" xfId="0" applyNumberFormat="1" applyFont="1" applyFill="1" applyBorder="1" applyAlignment="1">
      <alignment wrapText="1"/>
    </xf>
    <xf numFmtId="49" fontId="7" fillId="5" borderId="14" xfId="0" applyNumberFormat="1" applyFont="1" applyFill="1" applyBorder="1"/>
    <xf numFmtId="49" fontId="6" fillId="5" borderId="14" xfId="0" applyNumberFormat="1" applyFont="1" applyFill="1" applyBorder="1" applyAlignment="1">
      <alignment horizontal="right" wrapText="1"/>
    </xf>
    <xf numFmtId="4" fontId="6" fillId="5" borderId="14" xfId="0" applyNumberFormat="1" applyFont="1" applyFill="1" applyBorder="1" applyAlignment="1">
      <alignment wrapText="1"/>
    </xf>
    <xf numFmtId="49" fontId="6" fillId="3" borderId="14" xfId="0" applyNumberFormat="1" applyFont="1" applyFill="1" applyBorder="1" applyAlignment="1">
      <alignment horizontal="right" wrapText="1"/>
    </xf>
    <xf numFmtId="49" fontId="7" fillId="3" borderId="14" xfId="0" applyNumberFormat="1" applyFont="1" applyFill="1" applyBorder="1"/>
    <xf numFmtId="49" fontId="7" fillId="5" borderId="14" xfId="0" applyNumberFormat="1" applyFont="1" applyFill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49" fontId="8" fillId="4" borderId="14" xfId="0" applyNumberFormat="1" applyFont="1" applyFill="1" applyBorder="1" applyAlignment="1">
      <alignment horizontal="right" wrapText="1"/>
    </xf>
    <xf numFmtId="4" fontId="7" fillId="5" borderId="14" xfId="0" applyNumberFormat="1" applyFont="1" applyFill="1" applyBorder="1"/>
    <xf numFmtId="0" fontId="7" fillId="5" borderId="14" xfId="0" applyFont="1" applyFill="1" applyBorder="1" applyAlignment="1">
      <alignment horizontal="left" wrapText="1"/>
    </xf>
    <xf numFmtId="49" fontId="7" fillId="5" borderId="14" xfId="0" applyNumberFormat="1" applyFont="1" applyFill="1" applyBorder="1" applyAlignment="1">
      <alignment horizontal="left"/>
    </xf>
    <xf numFmtId="0" fontId="7" fillId="5" borderId="14" xfId="0" applyFont="1" applyFill="1" applyBorder="1" applyAlignment="1">
      <alignment wrapText="1"/>
    </xf>
    <xf numFmtId="49" fontId="7" fillId="5" borderId="14" xfId="0" applyNumberFormat="1" applyFont="1" applyFill="1" applyBorder="1" applyAlignment="1"/>
    <xf numFmtId="4" fontId="7" fillId="5" borderId="14" xfId="0" applyNumberFormat="1" applyFont="1" applyFill="1" applyBorder="1" applyAlignment="1"/>
    <xf numFmtId="0" fontId="5" fillId="0" borderId="18" xfId="0" applyFont="1" applyBorder="1" applyAlignment="1">
      <alignment wrapText="1"/>
    </xf>
    <xf numFmtId="49" fontId="4" fillId="0" borderId="18" xfId="0" applyNumberFormat="1" applyFont="1" applyFill="1" applyBorder="1"/>
    <xf numFmtId="4" fontId="5" fillId="0" borderId="18" xfId="0" applyNumberFormat="1" applyFont="1" applyFill="1" applyBorder="1"/>
    <xf numFmtId="4" fontId="5" fillId="0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49" fontId="7" fillId="0" borderId="18" xfId="0" applyNumberFormat="1" applyFont="1" applyFill="1" applyBorder="1"/>
    <xf numFmtId="49" fontId="5" fillId="0" borderId="18" xfId="0" applyNumberFormat="1" applyFont="1" applyFill="1" applyBorder="1"/>
    <xf numFmtId="0" fontId="7" fillId="5" borderId="11" xfId="0" applyFont="1" applyFill="1" applyBorder="1" applyAlignment="1">
      <alignment wrapText="1"/>
    </xf>
    <xf numFmtId="49" fontId="7" fillId="5" borderId="11" xfId="0" applyNumberFormat="1" applyFont="1" applyFill="1" applyBorder="1" applyAlignment="1">
      <alignment horizontal="left"/>
    </xf>
    <xf numFmtId="49" fontId="7" fillId="5" borderId="11" xfId="0" applyNumberFormat="1" applyFont="1" applyFill="1" applyBorder="1"/>
    <xf numFmtId="4" fontId="7" fillId="5" borderId="11" xfId="0" applyNumberFormat="1" applyFont="1" applyFill="1" applyBorder="1" applyAlignment="1">
      <alignment horizontal="right"/>
    </xf>
    <xf numFmtId="0" fontId="7" fillId="5" borderId="15" xfId="0" applyFont="1" applyFill="1" applyBorder="1" applyAlignment="1">
      <alignment vertical="top" wrapText="1"/>
    </xf>
    <xf numFmtId="0" fontId="7" fillId="5" borderId="16" xfId="0" applyFont="1" applyFill="1" applyBorder="1"/>
    <xf numFmtId="4" fontId="7" fillId="5" borderId="16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vertical="top" wrapText="1"/>
    </xf>
    <xf numFmtId="4" fontId="4" fillId="0" borderId="20" xfId="0" applyNumberFormat="1" applyFont="1" applyFill="1" applyBorder="1"/>
    <xf numFmtId="49" fontId="7" fillId="0" borderId="3" xfId="0" applyNumberFormat="1" applyFont="1" applyFill="1" applyBorder="1" applyAlignment="1">
      <alignment horizontal="center" wrapText="1"/>
    </xf>
    <xf numFmtId="0" fontId="7" fillId="2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5" fillId="0" borderId="13" xfId="0" applyFont="1" applyFill="1" applyBorder="1"/>
    <xf numFmtId="0" fontId="7" fillId="0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justify" wrapText="1"/>
    </xf>
    <xf numFmtId="0" fontId="7" fillId="2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4" borderId="13" xfId="0" applyFont="1" applyFill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4" borderId="13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vertical="top" wrapText="1"/>
    </xf>
    <xf numFmtId="0" fontId="7" fillId="0" borderId="13" xfId="0" applyFont="1" applyFill="1" applyBorder="1"/>
    <xf numFmtId="0" fontId="4" fillId="0" borderId="13" xfId="0" applyFont="1" applyFill="1" applyBorder="1"/>
    <xf numFmtId="0" fontId="4" fillId="3" borderId="13" xfId="0" applyFont="1" applyFill="1" applyBorder="1" applyAlignment="1">
      <alignment vertical="top" wrapText="1"/>
    </xf>
    <xf numFmtId="4" fontId="4" fillId="0" borderId="21" xfId="0" applyNumberFormat="1" applyFont="1" applyFill="1" applyBorder="1"/>
    <xf numFmtId="0" fontId="8" fillId="4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vertical="top"/>
    </xf>
    <xf numFmtId="49" fontId="4" fillId="0" borderId="19" xfId="0" applyNumberFormat="1" applyFont="1" applyFill="1" applyBorder="1" applyAlignment="1">
      <alignment horizontal="right" wrapText="1"/>
    </xf>
    <xf numFmtId="49" fontId="7" fillId="0" borderId="19" xfId="0" applyNumberFormat="1" applyFont="1" applyFill="1" applyBorder="1" applyAlignment="1">
      <alignment horizontal="right" wrapText="1"/>
    </xf>
    <xf numFmtId="2" fontId="7" fillId="0" borderId="21" xfId="0" applyNumberFormat="1" applyFont="1" applyFill="1" applyBorder="1"/>
    <xf numFmtId="0" fontId="5" fillId="0" borderId="22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7" fillId="0" borderId="14" xfId="0" applyNumberFormat="1" applyFont="1" applyFill="1" applyBorder="1"/>
    <xf numFmtId="2" fontId="5" fillId="0" borderId="14" xfId="0" applyNumberFormat="1" applyFont="1" applyFill="1" applyBorder="1"/>
    <xf numFmtId="4" fontId="7" fillId="0" borderId="14" xfId="0" applyNumberFormat="1" applyFont="1" applyFill="1" applyBorder="1" applyAlignment="1">
      <alignment wrapText="1"/>
    </xf>
    <xf numFmtId="4" fontId="7" fillId="2" borderId="14" xfId="0" applyNumberFormat="1" applyFont="1" applyFill="1" applyBorder="1" applyAlignment="1">
      <alignment wrapText="1"/>
    </xf>
    <xf numFmtId="4" fontId="7" fillId="3" borderId="14" xfId="0" applyNumberFormat="1" applyFont="1" applyFill="1" applyBorder="1" applyAlignment="1">
      <alignment horizontal="right" wrapText="1"/>
    </xf>
    <xf numFmtId="4" fontId="5" fillId="3" borderId="14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7" fillId="5" borderId="14" xfId="0" applyNumberFormat="1" applyFont="1" applyFill="1" applyBorder="1" applyAlignment="1">
      <alignment wrapText="1"/>
    </xf>
    <xf numFmtId="4" fontId="7" fillId="4" borderId="14" xfId="0" applyNumberFormat="1" applyFont="1" applyFill="1" applyBorder="1" applyAlignment="1">
      <alignment wrapText="1"/>
    </xf>
    <xf numFmtId="4" fontId="7" fillId="2" borderId="14" xfId="0" applyNumberFormat="1" applyFont="1" applyFill="1" applyBorder="1" applyAlignment="1">
      <alignment horizontal="right" wrapText="1"/>
    </xf>
    <xf numFmtId="4" fontId="7" fillId="4" borderId="14" xfId="0" applyNumberFormat="1" applyFont="1" applyFill="1" applyBorder="1" applyAlignment="1">
      <alignment horizontal="right" wrapText="1"/>
    </xf>
    <xf numFmtId="4" fontId="4" fillId="3" borderId="14" xfId="0" applyNumberFormat="1" applyFont="1" applyFill="1" applyBorder="1" applyAlignment="1">
      <alignment wrapText="1"/>
    </xf>
    <xf numFmtId="4" fontId="7" fillId="2" borderId="11" xfId="0" applyNumberFormat="1" applyFont="1" applyFill="1" applyBorder="1" applyAlignment="1">
      <alignment wrapText="1"/>
    </xf>
    <xf numFmtId="4" fontId="7" fillId="2" borderId="24" xfId="0" applyNumberFormat="1" applyFont="1" applyFill="1" applyBorder="1" applyAlignment="1">
      <alignment wrapText="1"/>
    </xf>
    <xf numFmtId="4" fontId="5" fillId="3" borderId="17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 wrapText="1"/>
    </xf>
    <xf numFmtId="4" fontId="5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wrapText="1"/>
    </xf>
    <xf numFmtId="4" fontId="7" fillId="2" borderId="17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7" fillId="5" borderId="17" xfId="0" applyNumberFormat="1" applyFont="1" applyFill="1" applyBorder="1" applyAlignment="1">
      <alignment wrapText="1"/>
    </xf>
    <xf numFmtId="4" fontId="7" fillId="4" borderId="17" xfId="0" applyNumberFormat="1" applyFont="1" applyFill="1" applyBorder="1" applyAlignment="1">
      <alignment wrapText="1"/>
    </xf>
    <xf numFmtId="4" fontId="7" fillId="2" borderId="17" xfId="0" applyNumberFormat="1" applyFont="1" applyFill="1" applyBorder="1" applyAlignment="1">
      <alignment horizontal="right" wrapText="1"/>
    </xf>
    <xf numFmtId="4" fontId="7" fillId="4" borderId="17" xfId="0" applyNumberFormat="1" applyFont="1" applyFill="1" applyBorder="1" applyAlignment="1">
      <alignment horizontal="right" wrapText="1"/>
    </xf>
    <xf numFmtId="4" fontId="4" fillId="3" borderId="17" xfId="0" applyNumberFormat="1" applyFont="1" applyFill="1" applyBorder="1" applyAlignment="1">
      <alignment wrapText="1"/>
    </xf>
    <xf numFmtId="4" fontId="4" fillId="0" borderId="17" xfId="0" applyNumberFormat="1" applyFont="1" applyFill="1" applyBorder="1"/>
    <xf numFmtId="4" fontId="6" fillId="5" borderId="17" xfId="0" applyNumberFormat="1" applyFont="1" applyFill="1" applyBorder="1" applyAlignment="1">
      <alignment wrapText="1"/>
    </xf>
    <xf numFmtId="0" fontId="4" fillId="0" borderId="25" xfId="0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right" wrapText="1"/>
    </xf>
    <xf numFmtId="0" fontId="7" fillId="2" borderId="9" xfId="0" applyFont="1" applyFill="1" applyBorder="1"/>
    <xf numFmtId="4" fontId="7" fillId="2" borderId="8" xfId="0" applyNumberFormat="1" applyFont="1" applyFill="1" applyBorder="1" applyAlignment="1">
      <alignment horizontal="right" wrapText="1"/>
    </xf>
    <xf numFmtId="4" fontId="7" fillId="2" borderId="3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/>
    <xf numFmtId="4" fontId="5" fillId="0" borderId="17" xfId="0" applyNumberFormat="1" applyFont="1" applyFill="1" applyBorder="1"/>
    <xf numFmtId="49" fontId="5" fillId="5" borderId="14" xfId="0" applyNumberFormat="1" applyFont="1" applyFill="1" applyBorder="1" applyAlignment="1">
      <alignment horizontal="right" wrapText="1"/>
    </xf>
    <xf numFmtId="4" fontId="7" fillId="5" borderId="17" xfId="0" applyNumberFormat="1" applyFont="1" applyFill="1" applyBorder="1"/>
    <xf numFmtId="0" fontId="7" fillId="6" borderId="13" xfId="0" applyFont="1" applyFill="1" applyBorder="1" applyAlignment="1">
      <alignment vertical="top" wrapText="1"/>
    </xf>
    <xf numFmtId="49" fontId="7" fillId="6" borderId="14" xfId="0" applyNumberFormat="1" applyFont="1" applyFill="1" applyBorder="1" applyAlignment="1">
      <alignment horizontal="right" wrapText="1"/>
    </xf>
    <xf numFmtId="49" fontId="7" fillId="6" borderId="14" xfId="0" applyNumberFormat="1" applyFont="1" applyFill="1" applyBorder="1" applyAlignment="1">
      <alignment wrapText="1"/>
    </xf>
    <xf numFmtId="49" fontId="7" fillId="6" borderId="14" xfId="0" applyNumberFormat="1" applyFont="1" applyFill="1" applyBorder="1"/>
    <xf numFmtId="4" fontId="7" fillId="6" borderId="14" xfId="0" applyNumberFormat="1" applyFont="1" applyFill="1" applyBorder="1"/>
    <xf numFmtId="4" fontId="7" fillId="6" borderId="17" xfId="0" applyNumberFormat="1" applyFont="1" applyFill="1" applyBorder="1"/>
    <xf numFmtId="0" fontId="7" fillId="6" borderId="14" xfId="0" applyFont="1" applyFill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" fontId="7" fillId="0" borderId="21" xfId="0" applyNumberFormat="1" applyFont="1" applyFill="1" applyBorder="1"/>
    <xf numFmtId="4" fontId="5" fillId="0" borderId="21" xfId="0" applyNumberFormat="1" applyFont="1" applyFill="1" applyBorder="1"/>
    <xf numFmtId="2" fontId="5" fillId="0" borderId="21" xfId="0" applyNumberFormat="1" applyFont="1" applyFill="1" applyBorder="1"/>
    <xf numFmtId="0" fontId="7" fillId="2" borderId="27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B23" sqref="B23"/>
    </sheetView>
  </sheetViews>
  <sheetFormatPr defaultRowHeight="15"/>
  <cols>
    <col min="1" max="1" width="36" customWidth="1"/>
    <col min="2" max="2" width="21.28515625" customWidth="1"/>
    <col min="3" max="3" width="23.28515625" customWidth="1"/>
  </cols>
  <sheetData>
    <row r="1" spans="1:3">
      <c r="B1" s="218" t="s">
        <v>0</v>
      </c>
      <c r="C1" s="218"/>
    </row>
    <row r="2" spans="1:3" hidden="1">
      <c r="B2" s="219" t="s">
        <v>1</v>
      </c>
      <c r="C2" s="219"/>
    </row>
    <row r="4" spans="1:3" ht="59.25" customHeight="1">
      <c r="A4" s="220" t="s">
        <v>23</v>
      </c>
      <c r="B4" s="220"/>
      <c r="C4" s="220"/>
    </row>
    <row r="5" spans="1:3" ht="15.75">
      <c r="A5" s="1"/>
    </row>
    <row r="6" spans="1:3" ht="15.75" thickBot="1">
      <c r="B6" s="2"/>
      <c r="C6" s="2" t="s">
        <v>2</v>
      </c>
    </row>
    <row r="7" spans="1:3" ht="16.5" thickBot="1">
      <c r="A7" s="3" t="s">
        <v>3</v>
      </c>
      <c r="B7" s="4">
        <v>2015</v>
      </c>
      <c r="C7" s="5">
        <v>2016</v>
      </c>
    </row>
    <row r="8" spans="1:3" ht="15.75">
      <c r="A8" s="6" t="s">
        <v>5</v>
      </c>
      <c r="B8" s="7">
        <v>2.2999999999999998</v>
      </c>
      <c r="C8" s="7">
        <v>2.2999999999999998</v>
      </c>
    </row>
    <row r="9" spans="1:3" ht="15.75">
      <c r="A9" s="6" t="s">
        <v>6</v>
      </c>
      <c r="B9" s="7">
        <v>4.0999999999999996</v>
      </c>
      <c r="C9" s="7">
        <v>4.0999999999999996</v>
      </c>
    </row>
    <row r="10" spans="1:3" ht="15.75">
      <c r="A10" s="6" t="s">
        <v>7</v>
      </c>
      <c r="B10" s="7">
        <v>4.3</v>
      </c>
      <c r="C10" s="7">
        <v>4.4000000000000004</v>
      </c>
    </row>
    <row r="11" spans="1:3" ht="15.75">
      <c r="A11" s="6" t="s">
        <v>24</v>
      </c>
      <c r="B11" s="7">
        <v>0.9</v>
      </c>
      <c r="C11" s="7">
        <v>0.8</v>
      </c>
    </row>
    <row r="12" spans="1:3" ht="15.75">
      <c r="A12" s="6" t="s">
        <v>9</v>
      </c>
      <c r="B12" s="7">
        <v>5.2</v>
      </c>
      <c r="C12" s="7">
        <v>5.2</v>
      </c>
    </row>
    <row r="13" spans="1:3" ht="15.75">
      <c r="A13" s="6" t="s">
        <v>10</v>
      </c>
      <c r="B13" s="7">
        <v>5.6</v>
      </c>
      <c r="C13" s="7">
        <v>5.7</v>
      </c>
    </row>
    <row r="14" spans="1:3" ht="15.75">
      <c r="A14" s="6" t="s">
        <v>11</v>
      </c>
      <c r="B14" s="7">
        <v>4.4000000000000004</v>
      </c>
      <c r="C14" s="7">
        <v>4.8</v>
      </c>
    </row>
    <row r="15" spans="1:3" ht="15.75">
      <c r="A15" s="6" t="s">
        <v>25</v>
      </c>
      <c r="B15" s="7">
        <v>3.6</v>
      </c>
      <c r="C15" s="7">
        <v>3.7</v>
      </c>
    </row>
    <row r="16" spans="1:3" ht="15.75">
      <c r="A16" s="6" t="s">
        <v>12</v>
      </c>
      <c r="B16" s="7">
        <v>1.5</v>
      </c>
      <c r="C16" s="7">
        <v>1.5</v>
      </c>
    </row>
    <row r="17" spans="1:3" ht="15.75">
      <c r="A17" s="6" t="s">
        <v>13</v>
      </c>
      <c r="B17" s="7">
        <v>2.7</v>
      </c>
      <c r="C17" s="7">
        <v>2.7</v>
      </c>
    </row>
    <row r="18" spans="1:3" ht="15.75">
      <c r="A18" s="6" t="s">
        <v>14</v>
      </c>
      <c r="B18" s="7">
        <v>2.2999999999999998</v>
      </c>
      <c r="C18" s="7">
        <v>2.4</v>
      </c>
    </row>
    <row r="19" spans="1:3" ht="15.75">
      <c r="A19" s="6" t="s">
        <v>15</v>
      </c>
      <c r="B19" s="7">
        <v>8.3000000000000007</v>
      </c>
      <c r="C19" s="7">
        <v>8.5</v>
      </c>
    </row>
    <row r="20" spans="1:3" ht="15.75">
      <c r="A20" s="6" t="s">
        <v>16</v>
      </c>
      <c r="B20" s="7">
        <v>3.8</v>
      </c>
      <c r="C20" s="7">
        <v>3.8</v>
      </c>
    </row>
    <row r="21" spans="1:3" ht="15.75">
      <c r="A21" s="6" t="s">
        <v>17</v>
      </c>
      <c r="B21" s="7">
        <v>4.2</v>
      </c>
      <c r="C21" s="7">
        <v>4.2</v>
      </c>
    </row>
    <row r="22" spans="1:3" ht="15.75">
      <c r="A22" s="6" t="s">
        <v>18</v>
      </c>
      <c r="B22" s="7">
        <v>129.19999999999999</v>
      </c>
      <c r="C22" s="7">
        <v>131.5</v>
      </c>
    </row>
    <row r="23" spans="1:3" ht="15.75">
      <c r="A23" s="6" t="s">
        <v>19</v>
      </c>
      <c r="B23" s="7">
        <v>3.7</v>
      </c>
      <c r="C23" s="7">
        <v>3.7</v>
      </c>
    </row>
    <row r="24" spans="1:3" ht="15.75">
      <c r="A24" s="6"/>
      <c r="B24" s="8"/>
      <c r="C24" s="7"/>
    </row>
    <row r="25" spans="1:3" ht="15.75">
      <c r="A25" s="6" t="s">
        <v>20</v>
      </c>
      <c r="B25" s="9">
        <f>SUM(B8:B23)</f>
        <v>186.09999999999997</v>
      </c>
      <c r="C25" s="9">
        <f>SUM(C8:C23)</f>
        <v>189.29999999999998</v>
      </c>
    </row>
    <row r="28" spans="1:3" ht="47.25">
      <c r="A28" s="10" t="s">
        <v>21</v>
      </c>
      <c r="B28" s="11"/>
      <c r="C28" s="12" t="s">
        <v>22</v>
      </c>
    </row>
  </sheetData>
  <mergeCells count="3">
    <mergeCell ref="B1:C1"/>
    <mergeCell ref="B2:C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15" workbookViewId="0">
      <selection activeCell="A13" sqref="A13"/>
    </sheetView>
  </sheetViews>
  <sheetFormatPr defaultRowHeight="15"/>
  <cols>
    <col min="1" max="1" width="32" customWidth="1"/>
    <col min="2" max="2" width="12.5703125" customWidth="1"/>
    <col min="3" max="3" width="20.140625" customWidth="1"/>
    <col min="4" max="4" width="14.7109375" customWidth="1"/>
    <col min="5" max="5" width="22.140625" customWidth="1"/>
  </cols>
  <sheetData>
    <row r="1" spans="1:5" hidden="1">
      <c r="C1" s="2"/>
      <c r="E1" s="2" t="s">
        <v>26</v>
      </c>
    </row>
    <row r="2" spans="1:5" ht="75" hidden="1">
      <c r="C2" s="13"/>
      <c r="D2" s="14"/>
      <c r="E2" s="15" t="s">
        <v>1</v>
      </c>
    </row>
    <row r="3" spans="1:5">
      <c r="D3" s="218" t="s">
        <v>252</v>
      </c>
      <c r="E3" s="218"/>
    </row>
    <row r="4" spans="1:5" ht="47.25" customHeight="1">
      <c r="A4" s="220" t="s">
        <v>31</v>
      </c>
      <c r="B4" s="220"/>
      <c r="C4" s="220"/>
      <c r="D4" s="220"/>
      <c r="E4" s="220"/>
    </row>
    <row r="5" spans="1:5" ht="15.75">
      <c r="A5" s="1"/>
    </row>
    <row r="6" spans="1:5" ht="16.5" thickBot="1">
      <c r="A6" s="1"/>
      <c r="C6" s="218" t="s">
        <v>2</v>
      </c>
      <c r="D6" s="218"/>
      <c r="E6" s="218"/>
    </row>
    <row r="7" spans="1:5" ht="16.5" thickBot="1">
      <c r="A7" s="222" t="s">
        <v>3</v>
      </c>
      <c r="B7" s="224">
        <v>2015</v>
      </c>
      <c r="C7" s="224"/>
      <c r="D7" s="224">
        <v>2016</v>
      </c>
      <c r="E7" s="225"/>
    </row>
    <row r="8" spans="1:5" ht="110.25" customHeight="1" thickBot="1">
      <c r="A8" s="223"/>
      <c r="B8" s="16" t="s">
        <v>20</v>
      </c>
      <c r="C8" s="17" t="s">
        <v>27</v>
      </c>
      <c r="D8" s="18" t="s">
        <v>20</v>
      </c>
      <c r="E8" s="17" t="s">
        <v>27</v>
      </c>
    </row>
    <row r="9" spans="1:5" ht="15.75">
      <c r="A9" s="6" t="s">
        <v>4</v>
      </c>
      <c r="B9" s="7">
        <f>C9+1567.5</f>
        <v>1574.6</v>
      </c>
      <c r="C9" s="7">
        <v>7.1</v>
      </c>
      <c r="D9" s="7">
        <f>E9+1561</f>
        <v>1568.2</v>
      </c>
      <c r="E9" s="7">
        <v>7.2</v>
      </c>
    </row>
    <row r="10" spans="1:5" ht="15.75">
      <c r="A10" s="6" t="s">
        <v>5</v>
      </c>
      <c r="B10" s="7">
        <f>C10+1899.4</f>
        <v>1905</v>
      </c>
      <c r="C10" s="7">
        <v>5.6</v>
      </c>
      <c r="D10" s="7">
        <f>E10+1897.7</f>
        <v>1903.4</v>
      </c>
      <c r="E10" s="7">
        <v>5.7</v>
      </c>
    </row>
    <row r="11" spans="1:5" ht="15.75">
      <c r="A11" s="6" t="s">
        <v>6</v>
      </c>
      <c r="B11" s="7">
        <f>C11+2985</f>
        <v>2994.3</v>
      </c>
      <c r="C11" s="7">
        <v>9.3000000000000007</v>
      </c>
      <c r="D11" s="7">
        <f>E11+2971.2</f>
        <v>2980.6</v>
      </c>
      <c r="E11" s="7">
        <v>9.4</v>
      </c>
    </row>
    <row r="12" spans="1:5" ht="15.75">
      <c r="A12" s="6" t="s">
        <v>7</v>
      </c>
      <c r="B12" s="7">
        <f>C12+1809.9</f>
        <v>1813.5</v>
      </c>
      <c r="C12" s="7">
        <v>3.6</v>
      </c>
      <c r="D12" s="7">
        <f>E12+1800</f>
        <v>1803.6</v>
      </c>
      <c r="E12" s="7">
        <v>3.6</v>
      </c>
    </row>
    <row r="13" spans="1:5" ht="15.75">
      <c r="A13" s="6" t="s">
        <v>8</v>
      </c>
      <c r="B13" s="7">
        <f>C13</f>
        <v>4.3</v>
      </c>
      <c r="C13" s="7">
        <v>4.3</v>
      </c>
      <c r="D13" s="7">
        <f>E13</f>
        <v>4.4000000000000004</v>
      </c>
      <c r="E13" s="7">
        <v>4.4000000000000004</v>
      </c>
    </row>
    <row r="14" spans="1:5" ht="15.75">
      <c r="A14" s="6" t="s">
        <v>28</v>
      </c>
      <c r="B14" s="7">
        <f>C14+3083.6</f>
        <v>3096.2</v>
      </c>
      <c r="C14" s="7">
        <v>12.6</v>
      </c>
      <c r="D14" s="7">
        <f>E14+3075.5</f>
        <v>3088.3</v>
      </c>
      <c r="E14" s="7">
        <v>12.8</v>
      </c>
    </row>
    <row r="15" spans="1:5" ht="15.75">
      <c r="A15" s="6" t="s">
        <v>9</v>
      </c>
      <c r="B15" s="7">
        <f>C15+2356.6</f>
        <v>2360.6</v>
      </c>
      <c r="C15" s="7">
        <v>4</v>
      </c>
      <c r="D15" s="7">
        <f>E15+2357.9</f>
        <v>2362</v>
      </c>
      <c r="E15" s="7">
        <v>4.0999999999999996</v>
      </c>
    </row>
    <row r="16" spans="1:5" ht="15.75">
      <c r="A16" s="6" t="s">
        <v>10</v>
      </c>
      <c r="B16" s="7">
        <f>C16+3630.1</f>
        <v>3638.2999999999997</v>
      </c>
      <c r="C16" s="7">
        <v>8.1999999999999993</v>
      </c>
      <c r="D16" s="7">
        <f>E16+3637.6</f>
        <v>3645.9</v>
      </c>
      <c r="E16" s="7">
        <v>8.3000000000000007</v>
      </c>
    </row>
    <row r="17" spans="1:5" ht="15.75">
      <c r="A17" s="6" t="s">
        <v>11</v>
      </c>
      <c r="B17" s="7">
        <f>C17+2315.4</f>
        <v>2320.9</v>
      </c>
      <c r="C17" s="7">
        <v>5.5</v>
      </c>
      <c r="D17" s="7">
        <f>E17+2308.7</f>
        <v>2314</v>
      </c>
      <c r="E17" s="7">
        <v>5.3</v>
      </c>
    </row>
    <row r="18" spans="1:5" ht="15.75">
      <c r="A18" s="6" t="s">
        <v>25</v>
      </c>
      <c r="B18" s="7">
        <f>C18+3353.8</f>
        <v>3363.8</v>
      </c>
      <c r="C18" s="7">
        <v>10</v>
      </c>
      <c r="D18" s="7">
        <f>E18+3348.7</f>
        <v>3358.7999999999997</v>
      </c>
      <c r="E18" s="7">
        <v>10.1</v>
      </c>
    </row>
    <row r="19" spans="1:5" ht="15.75">
      <c r="A19" s="6" t="s">
        <v>12</v>
      </c>
      <c r="B19" s="7">
        <f>C19+1231.3</f>
        <v>1236.0999999999999</v>
      </c>
      <c r="C19" s="7">
        <v>4.8</v>
      </c>
      <c r="D19" s="7">
        <f>E19+1214.2</f>
        <v>1219.1000000000001</v>
      </c>
      <c r="E19" s="7">
        <v>4.9000000000000004</v>
      </c>
    </row>
    <row r="20" spans="1:5" ht="15.75">
      <c r="A20" s="6" t="s">
        <v>13</v>
      </c>
      <c r="B20" s="7">
        <f>C20+1944.3</f>
        <v>1951.3</v>
      </c>
      <c r="C20" s="7">
        <v>7</v>
      </c>
      <c r="D20" s="7">
        <f>E20+1923.5</f>
        <v>1930.6</v>
      </c>
      <c r="E20" s="7">
        <v>7.1</v>
      </c>
    </row>
    <row r="21" spans="1:5" ht="15.75">
      <c r="A21" s="6" t="s">
        <v>14</v>
      </c>
      <c r="B21" s="7">
        <f>C21+1674.2</f>
        <v>1679.5</v>
      </c>
      <c r="C21" s="7">
        <v>5.3</v>
      </c>
      <c r="D21" s="7">
        <f>E21+1667.3</f>
        <v>1672.6</v>
      </c>
      <c r="E21" s="7">
        <v>5.3</v>
      </c>
    </row>
    <row r="22" spans="1:5" ht="15.75">
      <c r="A22" s="6" t="s">
        <v>15</v>
      </c>
      <c r="B22" s="7">
        <f>C22+4190.7</f>
        <v>4198.5</v>
      </c>
      <c r="C22" s="7">
        <v>7.8</v>
      </c>
      <c r="D22" s="7">
        <f>E22+4204.2</f>
        <v>4212.0999999999995</v>
      </c>
      <c r="E22" s="7">
        <v>7.9</v>
      </c>
    </row>
    <row r="23" spans="1:5" ht="15.75">
      <c r="A23" s="6" t="s">
        <v>16</v>
      </c>
      <c r="B23" s="7">
        <f>C23+1959.9</f>
        <v>1963.9</v>
      </c>
      <c r="C23" s="7">
        <v>4</v>
      </c>
      <c r="D23" s="7">
        <f>E23+1958.1</f>
        <v>1962.1999999999998</v>
      </c>
      <c r="E23" s="7">
        <v>4.0999999999999996</v>
      </c>
    </row>
    <row r="24" spans="1:5" ht="15.75">
      <c r="A24" s="6" t="s">
        <v>17</v>
      </c>
      <c r="B24" s="7">
        <f>C24+2545.3</f>
        <v>2551.7000000000003</v>
      </c>
      <c r="C24" s="7">
        <v>6.4</v>
      </c>
      <c r="D24" s="7">
        <f>E24+2541</f>
        <v>2547.5</v>
      </c>
      <c r="E24" s="7">
        <v>6.5</v>
      </c>
    </row>
    <row r="25" spans="1:5" ht="15.75">
      <c r="A25" s="6" t="s">
        <v>18</v>
      </c>
      <c r="B25" s="7">
        <f>C25+43739.8</f>
        <v>43786.600000000006</v>
      </c>
      <c r="C25" s="7">
        <v>46.8</v>
      </c>
      <c r="D25" s="7">
        <f>E25+43854.3</f>
        <v>43901.8</v>
      </c>
      <c r="E25" s="7">
        <v>47.5</v>
      </c>
    </row>
    <row r="26" spans="1:5" ht="15.75">
      <c r="A26" s="6" t="s">
        <v>19</v>
      </c>
      <c r="B26" s="7">
        <f>C26+2020</f>
        <v>2024.5</v>
      </c>
      <c r="C26" s="7">
        <v>4.5</v>
      </c>
      <c r="D26" s="7">
        <f>E26+2016.6</f>
        <v>2021.1999999999998</v>
      </c>
      <c r="E26" s="7">
        <v>4.5999999999999996</v>
      </c>
    </row>
    <row r="27" spans="1:5" ht="15.75">
      <c r="A27" s="6"/>
      <c r="B27" s="7"/>
      <c r="C27" s="7"/>
      <c r="D27" s="19"/>
      <c r="E27" s="19"/>
    </row>
    <row r="28" spans="1:5" ht="15.75">
      <c r="A28" s="6" t="s">
        <v>20</v>
      </c>
      <c r="B28" s="9">
        <f>SUM(B9:B26)</f>
        <v>82463.600000000006</v>
      </c>
      <c r="C28" s="7">
        <f>SUM(C9:C27)</f>
        <v>156.80000000000001</v>
      </c>
      <c r="D28" s="7">
        <f>SUM(D9:D27)</f>
        <v>82496.3</v>
      </c>
      <c r="E28" s="7">
        <f>SUM(E9:E27)</f>
        <v>158.79999999999998</v>
      </c>
    </row>
    <row r="30" spans="1:5" ht="15.75">
      <c r="A30" s="20" t="s">
        <v>29</v>
      </c>
      <c r="C30" s="2"/>
    </row>
    <row r="31" spans="1:5" ht="15.75">
      <c r="A31" s="221" t="s">
        <v>30</v>
      </c>
      <c r="B31" s="221"/>
      <c r="C31" s="21"/>
      <c r="E31" s="21" t="s">
        <v>22</v>
      </c>
    </row>
  </sheetData>
  <mergeCells count="7">
    <mergeCell ref="D3:E3"/>
    <mergeCell ref="A31:B31"/>
    <mergeCell ref="A4:E4"/>
    <mergeCell ref="C6:E6"/>
    <mergeCell ref="A7:A8"/>
    <mergeCell ref="B7:C7"/>
    <mergeCell ref="D7:E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6"/>
  <sheetViews>
    <sheetView topLeftCell="A263" workbookViewId="0">
      <selection activeCell="A274" sqref="A274"/>
    </sheetView>
  </sheetViews>
  <sheetFormatPr defaultRowHeight="15"/>
  <cols>
    <col min="1" max="1" width="94.42578125" customWidth="1"/>
    <col min="5" max="5" width="12.42578125" customWidth="1"/>
    <col min="7" max="7" width="16" customWidth="1"/>
    <col min="8" max="8" width="13.28515625" customWidth="1"/>
    <col min="10" max="11" width="10.42578125" bestFit="1" customWidth="1"/>
  </cols>
  <sheetData>
    <row r="1" spans="1:8">
      <c r="G1" s="218" t="s">
        <v>251</v>
      </c>
      <c r="H1" s="218"/>
    </row>
    <row r="2" spans="1:8" ht="46.5" customHeight="1">
      <c r="A2" s="226" t="s">
        <v>249</v>
      </c>
      <c r="B2" s="226"/>
      <c r="C2" s="226"/>
      <c r="D2" s="226"/>
      <c r="E2" s="226"/>
      <c r="F2" s="226"/>
      <c r="G2" s="226"/>
      <c r="H2" s="226"/>
    </row>
    <row r="3" spans="1:8" ht="15.75" thickBot="1">
      <c r="A3" s="22"/>
      <c r="B3" s="22"/>
      <c r="C3" s="22"/>
      <c r="D3" s="22"/>
      <c r="E3" s="22"/>
      <c r="F3" s="22"/>
      <c r="G3" s="23"/>
      <c r="H3" s="23" t="s">
        <v>32</v>
      </c>
    </row>
    <row r="4" spans="1:8" ht="30.75" thickBot="1">
      <c r="A4" s="55" t="s">
        <v>33</v>
      </c>
      <c r="B4" s="56" t="s">
        <v>34</v>
      </c>
      <c r="C4" s="57" t="s">
        <v>35</v>
      </c>
      <c r="D4" s="57" t="s">
        <v>36</v>
      </c>
      <c r="E4" s="57" t="s">
        <v>37</v>
      </c>
      <c r="F4" s="57" t="s">
        <v>38</v>
      </c>
      <c r="G4" s="58" t="s">
        <v>223</v>
      </c>
      <c r="H4" s="135" t="s">
        <v>224</v>
      </c>
    </row>
    <row r="5" spans="1:8">
      <c r="A5" s="136" t="s">
        <v>39</v>
      </c>
      <c r="B5" s="59">
        <v>200</v>
      </c>
      <c r="C5" s="60" t="s">
        <v>40</v>
      </c>
      <c r="D5" s="60" t="s">
        <v>40</v>
      </c>
      <c r="E5" s="60" t="s">
        <v>41</v>
      </c>
      <c r="F5" s="60" t="s">
        <v>42</v>
      </c>
      <c r="G5" s="177">
        <f>G6</f>
        <v>12350</v>
      </c>
      <c r="H5" s="178">
        <f>H6</f>
        <v>12445</v>
      </c>
    </row>
    <row r="6" spans="1:8">
      <c r="A6" s="61" t="s">
        <v>43</v>
      </c>
      <c r="B6" s="62">
        <v>200</v>
      </c>
      <c r="C6" s="63" t="s">
        <v>44</v>
      </c>
      <c r="D6" s="63" t="s">
        <v>40</v>
      </c>
      <c r="E6" s="63" t="s">
        <v>45</v>
      </c>
      <c r="F6" s="64" t="s">
        <v>42</v>
      </c>
      <c r="G6" s="168">
        <f>G7+G11+G17</f>
        <v>12350</v>
      </c>
      <c r="H6" s="97">
        <f>H7+H11+H17</f>
        <v>12445</v>
      </c>
    </row>
    <row r="7" spans="1:8" ht="30">
      <c r="A7" s="65" t="s">
        <v>46</v>
      </c>
      <c r="B7" s="62">
        <v>200</v>
      </c>
      <c r="C7" s="66" t="s">
        <v>44</v>
      </c>
      <c r="D7" s="66" t="s">
        <v>47</v>
      </c>
      <c r="E7" s="66" t="s">
        <v>45</v>
      </c>
      <c r="F7" s="66" t="s">
        <v>42</v>
      </c>
      <c r="G7" s="168">
        <f>G8</f>
        <v>1925</v>
      </c>
      <c r="H7" s="97">
        <f>Лист4!G8</f>
        <v>1949</v>
      </c>
    </row>
    <row r="8" spans="1:8" ht="29.25">
      <c r="A8" s="137" t="s">
        <v>48</v>
      </c>
      <c r="B8" s="54">
        <v>200</v>
      </c>
      <c r="C8" s="36" t="s">
        <v>44</v>
      </c>
      <c r="D8" s="36" t="s">
        <v>47</v>
      </c>
      <c r="E8" s="36" t="s">
        <v>49</v>
      </c>
      <c r="F8" s="36" t="s">
        <v>42</v>
      </c>
      <c r="G8" s="169">
        <f>G9</f>
        <v>1925</v>
      </c>
      <c r="H8" s="179">
        <f>Лист4!G9</f>
        <v>1949</v>
      </c>
    </row>
    <row r="9" spans="1:8" ht="29.25">
      <c r="A9" s="137" t="s">
        <v>48</v>
      </c>
      <c r="B9" s="54">
        <v>200</v>
      </c>
      <c r="C9" s="36" t="s">
        <v>44</v>
      </c>
      <c r="D9" s="36" t="s">
        <v>47</v>
      </c>
      <c r="E9" s="36" t="s">
        <v>50</v>
      </c>
      <c r="F9" s="36" t="s">
        <v>42</v>
      </c>
      <c r="G9" s="169">
        <f>G10</f>
        <v>1925</v>
      </c>
      <c r="H9" s="179">
        <f>Лист4!G10</f>
        <v>1949</v>
      </c>
    </row>
    <row r="10" spans="1:8" ht="43.5">
      <c r="A10" s="138" t="s">
        <v>51</v>
      </c>
      <c r="B10" s="54">
        <v>200</v>
      </c>
      <c r="C10" s="36" t="s">
        <v>44</v>
      </c>
      <c r="D10" s="36" t="s">
        <v>47</v>
      </c>
      <c r="E10" s="36" t="s">
        <v>50</v>
      </c>
      <c r="F10" s="32" t="s">
        <v>52</v>
      </c>
      <c r="G10" s="169">
        <v>1925</v>
      </c>
      <c r="H10" s="179">
        <f>Лист4!G11</f>
        <v>1949</v>
      </c>
    </row>
    <row r="11" spans="1:8" ht="30">
      <c r="A11" s="139" t="s">
        <v>53</v>
      </c>
      <c r="B11" s="80">
        <v>200</v>
      </c>
      <c r="C11" s="43" t="s">
        <v>44</v>
      </c>
      <c r="D11" s="43" t="s">
        <v>54</v>
      </c>
      <c r="E11" s="43" t="s">
        <v>45</v>
      </c>
      <c r="F11" s="43" t="s">
        <v>42</v>
      </c>
      <c r="G11" s="168">
        <f>G12</f>
        <v>10172</v>
      </c>
      <c r="H11" s="97">
        <f>H12</f>
        <v>10243</v>
      </c>
    </row>
    <row r="12" spans="1:8" ht="29.25">
      <c r="A12" s="137" t="s">
        <v>48</v>
      </c>
      <c r="B12" s="54">
        <v>200</v>
      </c>
      <c r="C12" s="36" t="s">
        <v>44</v>
      </c>
      <c r="D12" s="36" t="s">
        <v>54</v>
      </c>
      <c r="E12" s="36" t="s">
        <v>49</v>
      </c>
      <c r="F12" s="36" t="s">
        <v>42</v>
      </c>
      <c r="G12" s="169">
        <f>G13</f>
        <v>10172</v>
      </c>
      <c r="H12" s="179">
        <f>H13</f>
        <v>10243</v>
      </c>
    </row>
    <row r="13" spans="1:8">
      <c r="A13" s="140" t="s">
        <v>55</v>
      </c>
      <c r="B13" s="54">
        <v>200</v>
      </c>
      <c r="C13" s="36" t="s">
        <v>44</v>
      </c>
      <c r="D13" s="36" t="s">
        <v>54</v>
      </c>
      <c r="E13" s="36" t="s">
        <v>56</v>
      </c>
      <c r="F13" s="36" t="s">
        <v>42</v>
      </c>
      <c r="G13" s="169">
        <f>G14+G15+G16</f>
        <v>10172</v>
      </c>
      <c r="H13" s="179">
        <f>H14+H15+H16</f>
        <v>10243</v>
      </c>
    </row>
    <row r="14" spans="1:8" ht="43.5">
      <c r="A14" s="138" t="s">
        <v>51</v>
      </c>
      <c r="B14" s="54">
        <v>200</v>
      </c>
      <c r="C14" s="36" t="s">
        <v>44</v>
      </c>
      <c r="D14" s="36" t="s">
        <v>54</v>
      </c>
      <c r="E14" s="36" t="s">
        <v>56</v>
      </c>
      <c r="F14" s="32" t="s">
        <v>52</v>
      </c>
      <c r="G14" s="169">
        <v>4640</v>
      </c>
      <c r="H14" s="179">
        <f>Лист4!G15</f>
        <v>4690</v>
      </c>
    </row>
    <row r="15" spans="1:8">
      <c r="A15" s="138" t="s">
        <v>57</v>
      </c>
      <c r="B15" s="54">
        <v>200</v>
      </c>
      <c r="C15" s="36" t="s">
        <v>44</v>
      </c>
      <c r="D15" s="36" t="s">
        <v>54</v>
      </c>
      <c r="E15" s="36" t="s">
        <v>56</v>
      </c>
      <c r="F15" s="32" t="s">
        <v>58</v>
      </c>
      <c r="G15" s="169">
        <f>5352</f>
        <v>5352</v>
      </c>
      <c r="H15" s="179">
        <f>5553-180</f>
        <v>5373</v>
      </c>
    </row>
    <row r="16" spans="1:8">
      <c r="A16" s="138" t="s">
        <v>59</v>
      </c>
      <c r="B16" s="54">
        <v>200</v>
      </c>
      <c r="C16" s="36" t="s">
        <v>44</v>
      </c>
      <c r="D16" s="36" t="s">
        <v>54</v>
      </c>
      <c r="E16" s="36" t="s">
        <v>56</v>
      </c>
      <c r="F16" s="32" t="s">
        <v>60</v>
      </c>
      <c r="G16" s="169">
        <v>180</v>
      </c>
      <c r="H16" s="179">
        <f>Лист4!G17</f>
        <v>180</v>
      </c>
    </row>
    <row r="17" spans="1:8">
      <c r="A17" s="141" t="s">
        <v>61</v>
      </c>
      <c r="B17" s="80">
        <v>200</v>
      </c>
      <c r="C17" s="44" t="s">
        <v>44</v>
      </c>
      <c r="D17" s="45" t="s">
        <v>62</v>
      </c>
      <c r="E17" s="45" t="s">
        <v>45</v>
      </c>
      <c r="F17" s="44" t="s">
        <v>42</v>
      </c>
      <c r="G17" s="170">
        <f>G18</f>
        <v>253</v>
      </c>
      <c r="H17" s="180">
        <f t="shared" ref="G17:H19" si="0">H18</f>
        <v>253</v>
      </c>
    </row>
    <row r="18" spans="1:8" ht="29.25">
      <c r="A18" s="137" t="s">
        <v>48</v>
      </c>
      <c r="B18" s="54">
        <v>200</v>
      </c>
      <c r="C18" s="32" t="s">
        <v>44</v>
      </c>
      <c r="D18" s="32" t="s">
        <v>62</v>
      </c>
      <c r="E18" s="32" t="s">
        <v>49</v>
      </c>
      <c r="F18" s="32" t="s">
        <v>42</v>
      </c>
      <c r="G18" s="171">
        <f t="shared" si="0"/>
        <v>253</v>
      </c>
      <c r="H18" s="181">
        <f t="shared" si="0"/>
        <v>253</v>
      </c>
    </row>
    <row r="19" spans="1:8">
      <c r="A19" s="142" t="s">
        <v>63</v>
      </c>
      <c r="B19" s="54">
        <v>200</v>
      </c>
      <c r="C19" s="31" t="s">
        <v>44</v>
      </c>
      <c r="D19" s="31" t="s">
        <v>62</v>
      </c>
      <c r="E19" s="32" t="s">
        <v>64</v>
      </c>
      <c r="F19" s="32" t="s">
        <v>42</v>
      </c>
      <c r="G19" s="84">
        <f t="shared" si="0"/>
        <v>253</v>
      </c>
      <c r="H19" s="182">
        <f t="shared" si="0"/>
        <v>253</v>
      </c>
    </row>
    <row r="20" spans="1:8">
      <c r="A20" s="138" t="s">
        <v>59</v>
      </c>
      <c r="B20" s="54">
        <v>200</v>
      </c>
      <c r="C20" s="31" t="s">
        <v>44</v>
      </c>
      <c r="D20" s="31" t="s">
        <v>62</v>
      </c>
      <c r="E20" s="32" t="s">
        <v>64</v>
      </c>
      <c r="F20" s="32" t="s">
        <v>60</v>
      </c>
      <c r="G20" s="84">
        <f>253</f>
        <v>253</v>
      </c>
      <c r="H20" s="182">
        <v>253</v>
      </c>
    </row>
    <row r="21" spans="1:8">
      <c r="A21" s="143" t="s">
        <v>65</v>
      </c>
      <c r="B21" s="74" t="s">
        <v>66</v>
      </c>
      <c r="C21" s="67" t="s">
        <v>40</v>
      </c>
      <c r="D21" s="67" t="s">
        <v>40</v>
      </c>
      <c r="E21" s="68" t="s">
        <v>45</v>
      </c>
      <c r="F21" s="68" t="s">
        <v>42</v>
      </c>
      <c r="G21" s="167">
        <f>G22+G67+G80+G86+G71</f>
        <v>36002.479999999996</v>
      </c>
      <c r="H21" s="183">
        <f>H22+H67+H80+H86+H71+H29</f>
        <v>36430.909999999996</v>
      </c>
    </row>
    <row r="22" spans="1:8">
      <c r="A22" s="65" t="s">
        <v>43</v>
      </c>
      <c r="B22" s="80" t="s">
        <v>66</v>
      </c>
      <c r="C22" s="66" t="s">
        <v>44</v>
      </c>
      <c r="D22" s="66" t="s">
        <v>40</v>
      </c>
      <c r="E22" s="66" t="s">
        <v>45</v>
      </c>
      <c r="F22" s="105" t="s">
        <v>42</v>
      </c>
      <c r="G22" s="168">
        <f>G23+G33+G38</f>
        <v>16252.98</v>
      </c>
      <c r="H22" s="97">
        <f>H23+H33+H38</f>
        <v>15311.11</v>
      </c>
    </row>
    <row r="23" spans="1:8" ht="45">
      <c r="A23" s="139" t="s">
        <v>67</v>
      </c>
      <c r="B23" s="69">
        <v>103</v>
      </c>
      <c r="C23" s="44" t="s">
        <v>44</v>
      </c>
      <c r="D23" s="44" t="s">
        <v>68</v>
      </c>
      <c r="E23" s="43" t="s">
        <v>45</v>
      </c>
      <c r="F23" s="45" t="s">
        <v>42</v>
      </c>
      <c r="G23" s="166">
        <f>G24</f>
        <v>10218.4</v>
      </c>
      <c r="H23" s="184">
        <f>H24</f>
        <v>10456</v>
      </c>
    </row>
    <row r="24" spans="1:8" ht="29.25">
      <c r="A24" s="137" t="s">
        <v>48</v>
      </c>
      <c r="B24" s="69">
        <v>103</v>
      </c>
      <c r="C24" s="33" t="s">
        <v>44</v>
      </c>
      <c r="D24" s="33" t="s">
        <v>68</v>
      </c>
      <c r="E24" s="34" t="s">
        <v>49</v>
      </c>
      <c r="F24" s="34" t="s">
        <v>42</v>
      </c>
      <c r="G24" s="83">
        <f>G25</f>
        <v>10218.4</v>
      </c>
      <c r="H24" s="185">
        <f>H25</f>
        <v>10456</v>
      </c>
    </row>
    <row r="25" spans="1:8">
      <c r="A25" s="144" t="s">
        <v>69</v>
      </c>
      <c r="B25" s="75">
        <v>103</v>
      </c>
      <c r="C25" s="33" t="s">
        <v>44</v>
      </c>
      <c r="D25" s="33" t="s">
        <v>68</v>
      </c>
      <c r="E25" s="34" t="s">
        <v>56</v>
      </c>
      <c r="F25" s="34" t="s">
        <v>42</v>
      </c>
      <c r="G25" s="83">
        <f>G26+G27+G28</f>
        <v>10218.4</v>
      </c>
      <c r="H25" s="185">
        <f>H26+H27+H28</f>
        <v>10456</v>
      </c>
    </row>
    <row r="26" spans="1:8">
      <c r="A26" s="144" t="s">
        <v>70</v>
      </c>
      <c r="B26" s="75">
        <v>103</v>
      </c>
      <c r="C26" s="33" t="s">
        <v>44</v>
      </c>
      <c r="D26" s="33" t="s">
        <v>68</v>
      </c>
      <c r="E26" s="34" t="s">
        <v>56</v>
      </c>
      <c r="F26" s="31" t="s">
        <v>52</v>
      </c>
      <c r="G26" s="84">
        <v>5568.4</v>
      </c>
      <c r="H26" s="182">
        <v>5640</v>
      </c>
    </row>
    <row r="27" spans="1:8">
      <c r="A27" s="138" t="s">
        <v>57</v>
      </c>
      <c r="B27" s="75">
        <v>103</v>
      </c>
      <c r="C27" s="33" t="s">
        <v>44</v>
      </c>
      <c r="D27" s="33" t="s">
        <v>68</v>
      </c>
      <c r="E27" s="34" t="s">
        <v>56</v>
      </c>
      <c r="F27" s="31" t="s">
        <v>58</v>
      </c>
      <c r="G27" s="84">
        <f>4600</f>
        <v>4600</v>
      </c>
      <c r="H27" s="182">
        <v>4766</v>
      </c>
    </row>
    <row r="28" spans="1:8">
      <c r="A28" s="138" t="s">
        <v>59</v>
      </c>
      <c r="B28" s="75">
        <v>103</v>
      </c>
      <c r="C28" s="33" t="s">
        <v>44</v>
      </c>
      <c r="D28" s="33" t="s">
        <v>68</v>
      </c>
      <c r="E28" s="34" t="s">
        <v>56</v>
      </c>
      <c r="F28" s="31" t="s">
        <v>60</v>
      </c>
      <c r="G28" s="84">
        <f>50</f>
        <v>50</v>
      </c>
      <c r="H28" s="182">
        <f>50</f>
        <v>50</v>
      </c>
    </row>
    <row r="29" spans="1:8">
      <c r="A29" s="213" t="s">
        <v>258</v>
      </c>
      <c r="B29" s="75" t="s">
        <v>66</v>
      </c>
      <c r="C29" s="41" t="s">
        <v>44</v>
      </c>
      <c r="D29" s="41" t="s">
        <v>233</v>
      </c>
      <c r="E29" s="45" t="s">
        <v>45</v>
      </c>
      <c r="F29" s="41" t="s">
        <v>42</v>
      </c>
      <c r="G29" s="79"/>
      <c r="H29" s="214">
        <f>H30</f>
        <v>12.7</v>
      </c>
    </row>
    <row r="30" spans="1:8">
      <c r="A30" s="137" t="s">
        <v>92</v>
      </c>
      <c r="B30" s="75" t="s">
        <v>66</v>
      </c>
      <c r="C30" s="31" t="s">
        <v>44</v>
      </c>
      <c r="D30" s="31" t="s">
        <v>233</v>
      </c>
      <c r="E30" s="34" t="s">
        <v>93</v>
      </c>
      <c r="F30" s="31" t="s">
        <v>42</v>
      </c>
      <c r="G30" s="46"/>
      <c r="H30" s="215">
        <f>H31</f>
        <v>12.7</v>
      </c>
    </row>
    <row r="31" spans="1:8" ht="29.25">
      <c r="A31" s="138" t="s">
        <v>260</v>
      </c>
      <c r="B31" s="75" t="s">
        <v>66</v>
      </c>
      <c r="C31" s="31" t="s">
        <v>44</v>
      </c>
      <c r="D31" s="31" t="s">
        <v>233</v>
      </c>
      <c r="E31" s="34" t="s">
        <v>259</v>
      </c>
      <c r="F31" s="31" t="s">
        <v>42</v>
      </c>
      <c r="G31" s="46"/>
      <c r="H31" s="215">
        <f>H32</f>
        <v>12.7</v>
      </c>
    </row>
    <row r="32" spans="1:8">
      <c r="A32" s="138" t="s">
        <v>57</v>
      </c>
      <c r="B32" s="75" t="s">
        <v>66</v>
      </c>
      <c r="C32" s="31" t="s">
        <v>44</v>
      </c>
      <c r="D32" s="31" t="s">
        <v>233</v>
      </c>
      <c r="E32" s="34" t="s">
        <v>259</v>
      </c>
      <c r="F32" s="31" t="s">
        <v>58</v>
      </c>
      <c r="G32" s="46"/>
      <c r="H32" s="215">
        <v>12.7</v>
      </c>
    </row>
    <row r="33" spans="1:8">
      <c r="A33" s="141" t="s">
        <v>71</v>
      </c>
      <c r="B33" s="69">
        <v>103</v>
      </c>
      <c r="C33" s="44" t="s">
        <v>44</v>
      </c>
      <c r="D33" s="44" t="s">
        <v>72</v>
      </c>
      <c r="E33" s="45" t="s">
        <v>45</v>
      </c>
      <c r="F33" s="45" t="s">
        <v>42</v>
      </c>
      <c r="G33" s="166">
        <f t="shared" ref="G33:H36" si="1">G34</f>
        <v>3838.6</v>
      </c>
      <c r="H33" s="184">
        <f t="shared" si="1"/>
        <v>1838.6</v>
      </c>
    </row>
    <row r="34" spans="1:8">
      <c r="A34" s="144" t="s">
        <v>71</v>
      </c>
      <c r="B34" s="75">
        <v>103</v>
      </c>
      <c r="C34" s="33" t="s">
        <v>44</v>
      </c>
      <c r="D34" s="33" t="s">
        <v>72</v>
      </c>
      <c r="E34" s="34" t="s">
        <v>73</v>
      </c>
      <c r="F34" s="34" t="s">
        <v>42</v>
      </c>
      <c r="G34" s="83">
        <f t="shared" si="1"/>
        <v>3838.6</v>
      </c>
      <c r="H34" s="185">
        <f t="shared" si="1"/>
        <v>1838.6</v>
      </c>
    </row>
    <row r="35" spans="1:8">
      <c r="A35" s="144" t="s">
        <v>74</v>
      </c>
      <c r="B35" s="75">
        <v>103</v>
      </c>
      <c r="C35" s="33" t="s">
        <v>44</v>
      </c>
      <c r="D35" s="33" t="s">
        <v>72</v>
      </c>
      <c r="E35" s="34" t="s">
        <v>73</v>
      </c>
      <c r="F35" s="34" t="s">
        <v>42</v>
      </c>
      <c r="G35" s="83">
        <f t="shared" si="1"/>
        <v>3838.6</v>
      </c>
      <c r="H35" s="185">
        <f t="shared" si="1"/>
        <v>1838.6</v>
      </c>
    </row>
    <row r="36" spans="1:8">
      <c r="A36" s="137" t="s">
        <v>75</v>
      </c>
      <c r="B36" s="75">
        <v>103</v>
      </c>
      <c r="C36" s="33" t="s">
        <v>44</v>
      </c>
      <c r="D36" s="33" t="s">
        <v>72</v>
      </c>
      <c r="E36" s="34" t="s">
        <v>76</v>
      </c>
      <c r="F36" s="34" t="s">
        <v>42</v>
      </c>
      <c r="G36" s="83">
        <f t="shared" si="1"/>
        <v>3838.6</v>
      </c>
      <c r="H36" s="185">
        <f t="shared" si="1"/>
        <v>1838.6</v>
      </c>
    </row>
    <row r="37" spans="1:8">
      <c r="A37" s="138" t="s">
        <v>59</v>
      </c>
      <c r="B37" s="75">
        <v>103</v>
      </c>
      <c r="C37" s="33" t="s">
        <v>44</v>
      </c>
      <c r="D37" s="33" t="s">
        <v>72</v>
      </c>
      <c r="E37" s="34" t="s">
        <v>76</v>
      </c>
      <c r="F37" s="31" t="s">
        <v>60</v>
      </c>
      <c r="G37" s="83">
        <f>3838.6</f>
        <v>3838.6</v>
      </c>
      <c r="H37" s="185">
        <f>3838.6-2000</f>
        <v>1838.6</v>
      </c>
    </row>
    <row r="38" spans="1:8">
      <c r="A38" s="141" t="s">
        <v>61</v>
      </c>
      <c r="B38" s="69">
        <v>103</v>
      </c>
      <c r="C38" s="44" t="s">
        <v>44</v>
      </c>
      <c r="D38" s="44" t="s">
        <v>62</v>
      </c>
      <c r="E38" s="45" t="s">
        <v>45</v>
      </c>
      <c r="F38" s="45" t="s">
        <v>42</v>
      </c>
      <c r="G38" s="166">
        <f>G46+G49+G52+G39</f>
        <v>2195.98</v>
      </c>
      <c r="H38" s="184">
        <f>H46+H49+H52+H39</f>
        <v>3016.5099999999998</v>
      </c>
    </row>
    <row r="39" spans="1:8">
      <c r="A39" s="139" t="s">
        <v>92</v>
      </c>
      <c r="B39" s="159" t="s">
        <v>66</v>
      </c>
      <c r="C39" s="44" t="s">
        <v>44</v>
      </c>
      <c r="D39" s="44" t="s">
        <v>62</v>
      </c>
      <c r="E39" s="45" t="s">
        <v>93</v>
      </c>
      <c r="F39" s="45" t="s">
        <v>42</v>
      </c>
      <c r="G39" s="164">
        <f t="shared" ref="G39" si="2">G42</f>
        <v>821.49999999999989</v>
      </c>
      <c r="H39" s="160">
        <f>H42+H40</f>
        <v>1528.8999999999999</v>
      </c>
    </row>
    <row r="40" spans="1:8">
      <c r="A40" s="137" t="s">
        <v>256</v>
      </c>
      <c r="B40" s="159" t="s">
        <v>66</v>
      </c>
      <c r="C40" s="33" t="s">
        <v>44</v>
      </c>
      <c r="D40" s="33" t="s">
        <v>62</v>
      </c>
      <c r="E40" s="34" t="s">
        <v>257</v>
      </c>
      <c r="F40" s="34" t="s">
        <v>42</v>
      </c>
      <c r="G40" s="164"/>
      <c r="H40" s="160">
        <f>H41</f>
        <v>707.4</v>
      </c>
    </row>
    <row r="41" spans="1:8">
      <c r="A41" s="138" t="s">
        <v>57</v>
      </c>
      <c r="B41" s="159" t="s">
        <v>66</v>
      </c>
      <c r="C41" s="33" t="s">
        <v>44</v>
      </c>
      <c r="D41" s="33" t="s">
        <v>62</v>
      </c>
      <c r="E41" s="34" t="s">
        <v>257</v>
      </c>
      <c r="F41" s="34" t="s">
        <v>58</v>
      </c>
      <c r="G41" s="164"/>
      <c r="H41" s="216">
        <v>707.4</v>
      </c>
    </row>
    <row r="42" spans="1:8">
      <c r="A42" s="161" t="s">
        <v>254</v>
      </c>
      <c r="B42" s="53" t="s">
        <v>66</v>
      </c>
      <c r="C42" s="33" t="s">
        <v>44</v>
      </c>
      <c r="D42" s="38" t="s">
        <v>62</v>
      </c>
      <c r="E42" s="42" t="s">
        <v>255</v>
      </c>
      <c r="F42" s="34" t="s">
        <v>42</v>
      </c>
      <c r="G42" s="51">
        <f>Лист4!F48</f>
        <v>821.49999999999989</v>
      </c>
      <c r="H42" s="155">
        <f>Лист4!G48</f>
        <v>821.49999999999989</v>
      </c>
    </row>
    <row r="43" spans="1:8" ht="43.5">
      <c r="A43" s="162" t="s">
        <v>51</v>
      </c>
      <c r="B43" s="53" t="s">
        <v>66</v>
      </c>
      <c r="C43" s="33" t="s">
        <v>44</v>
      </c>
      <c r="D43" s="38" t="s">
        <v>62</v>
      </c>
      <c r="E43" s="42" t="s">
        <v>255</v>
      </c>
      <c r="F43" s="31" t="s">
        <v>52</v>
      </c>
      <c r="G43" s="51">
        <f>Лист4!F49</f>
        <v>691.8</v>
      </c>
      <c r="H43" s="155">
        <f>Лист4!G49</f>
        <v>691.8</v>
      </c>
    </row>
    <row r="44" spans="1:8">
      <c r="A44" s="163" t="s">
        <v>57</v>
      </c>
      <c r="B44" s="53" t="s">
        <v>66</v>
      </c>
      <c r="C44" s="33" t="s">
        <v>44</v>
      </c>
      <c r="D44" s="38" t="s">
        <v>62</v>
      </c>
      <c r="E44" s="42" t="s">
        <v>255</v>
      </c>
      <c r="F44" s="31" t="s">
        <v>58</v>
      </c>
      <c r="G44" s="51">
        <f>Лист4!F50</f>
        <v>86.4</v>
      </c>
      <c r="H44" s="155">
        <f>Лист4!G50</f>
        <v>86.4</v>
      </c>
    </row>
    <row r="45" spans="1:8">
      <c r="A45" s="133" t="s">
        <v>81</v>
      </c>
      <c r="B45" s="158" t="s">
        <v>66</v>
      </c>
      <c r="C45" s="33" t="s">
        <v>44</v>
      </c>
      <c r="D45" s="38" t="s">
        <v>62</v>
      </c>
      <c r="E45" s="42" t="s">
        <v>255</v>
      </c>
      <c r="F45" s="31" t="s">
        <v>96</v>
      </c>
      <c r="G45" s="51">
        <f>Лист4!F51</f>
        <v>43.3</v>
      </c>
      <c r="H45" s="155">
        <f>Лист4!G51</f>
        <v>43.3</v>
      </c>
    </row>
    <row r="46" spans="1:8" ht="29.25">
      <c r="A46" s="137" t="s">
        <v>48</v>
      </c>
      <c r="B46" s="75">
        <v>103</v>
      </c>
      <c r="C46" s="33" t="s">
        <v>44</v>
      </c>
      <c r="D46" s="33" t="s">
        <v>62</v>
      </c>
      <c r="E46" s="34" t="s">
        <v>49</v>
      </c>
      <c r="F46" s="34" t="s">
        <v>42</v>
      </c>
      <c r="G46" s="83">
        <f>G47</f>
        <v>11</v>
      </c>
      <c r="H46" s="185">
        <f>H47</f>
        <v>11</v>
      </c>
    </row>
    <row r="47" spans="1:8">
      <c r="A47" s="142" t="s">
        <v>63</v>
      </c>
      <c r="B47" s="75">
        <v>103</v>
      </c>
      <c r="C47" s="31" t="s">
        <v>44</v>
      </c>
      <c r="D47" s="31" t="s">
        <v>62</v>
      </c>
      <c r="E47" s="32" t="s">
        <v>64</v>
      </c>
      <c r="F47" s="32" t="s">
        <v>42</v>
      </c>
      <c r="G47" s="84">
        <f>G48</f>
        <v>11</v>
      </c>
      <c r="H47" s="182">
        <f>H48</f>
        <v>11</v>
      </c>
    </row>
    <row r="48" spans="1:8">
      <c r="A48" s="138" t="s">
        <v>59</v>
      </c>
      <c r="B48" s="75">
        <v>103</v>
      </c>
      <c r="C48" s="31" t="s">
        <v>44</v>
      </c>
      <c r="D48" s="31" t="s">
        <v>62</v>
      </c>
      <c r="E48" s="32" t="s">
        <v>64</v>
      </c>
      <c r="F48" s="32" t="s">
        <v>60</v>
      </c>
      <c r="G48" s="84">
        <v>11</v>
      </c>
      <c r="H48" s="182">
        <v>11</v>
      </c>
    </row>
    <row r="49" spans="1:8">
      <c r="A49" s="138" t="s">
        <v>77</v>
      </c>
      <c r="B49" s="75">
        <v>103</v>
      </c>
      <c r="C49" s="36" t="s">
        <v>44</v>
      </c>
      <c r="D49" s="33" t="s">
        <v>62</v>
      </c>
      <c r="E49" s="32" t="s">
        <v>78</v>
      </c>
      <c r="F49" s="36" t="s">
        <v>42</v>
      </c>
      <c r="G49" s="171">
        <f>G50</f>
        <v>286</v>
      </c>
      <c r="H49" s="181">
        <f>H50</f>
        <v>351</v>
      </c>
    </row>
    <row r="50" spans="1:8">
      <c r="A50" s="138" t="s">
        <v>79</v>
      </c>
      <c r="B50" s="75">
        <v>103</v>
      </c>
      <c r="C50" s="36" t="s">
        <v>44</v>
      </c>
      <c r="D50" s="33" t="s">
        <v>62</v>
      </c>
      <c r="E50" s="32" t="s">
        <v>80</v>
      </c>
      <c r="F50" s="32" t="s">
        <v>42</v>
      </c>
      <c r="G50" s="171">
        <f>G51</f>
        <v>286</v>
      </c>
      <c r="H50" s="181">
        <f>H51</f>
        <v>351</v>
      </c>
    </row>
    <row r="51" spans="1:8" ht="43.5">
      <c r="A51" s="138" t="s">
        <v>51</v>
      </c>
      <c r="B51" s="75">
        <v>103</v>
      </c>
      <c r="C51" s="36" t="s">
        <v>44</v>
      </c>
      <c r="D51" s="33" t="s">
        <v>62</v>
      </c>
      <c r="E51" s="32" t="s">
        <v>80</v>
      </c>
      <c r="F51" s="31" t="s">
        <v>52</v>
      </c>
      <c r="G51" s="171">
        <f>347-61</f>
        <v>286</v>
      </c>
      <c r="H51" s="181">
        <v>351</v>
      </c>
    </row>
    <row r="52" spans="1:8">
      <c r="A52" s="133" t="s">
        <v>81</v>
      </c>
      <c r="B52" s="75">
        <v>103</v>
      </c>
      <c r="C52" s="34" t="s">
        <v>44</v>
      </c>
      <c r="D52" s="34" t="s">
        <v>62</v>
      </c>
      <c r="E52" s="34" t="s">
        <v>82</v>
      </c>
      <c r="F52" s="31" t="s">
        <v>42</v>
      </c>
      <c r="G52" s="83">
        <f>G53+G56+G59+G62+G65</f>
        <v>1077.48</v>
      </c>
      <c r="H52" s="185">
        <f>H53+H56+H59+H62+H65</f>
        <v>1125.6099999999999</v>
      </c>
    </row>
    <row r="53" spans="1:8" ht="29.25">
      <c r="A53" s="138" t="s">
        <v>83</v>
      </c>
      <c r="B53" s="75">
        <v>103</v>
      </c>
      <c r="C53" s="34" t="s">
        <v>44</v>
      </c>
      <c r="D53" s="34" t="s">
        <v>62</v>
      </c>
      <c r="E53" s="34" t="s">
        <v>84</v>
      </c>
      <c r="F53" s="34" t="s">
        <v>42</v>
      </c>
      <c r="G53" s="83">
        <f>Лист4!F68</f>
        <v>284.3</v>
      </c>
      <c r="H53" s="185">
        <f>Лист4!G68</f>
        <v>297.8</v>
      </c>
    </row>
    <row r="54" spans="1:8" ht="43.5">
      <c r="A54" s="138" t="s">
        <v>51</v>
      </c>
      <c r="B54" s="75">
        <v>103</v>
      </c>
      <c r="C54" s="34" t="s">
        <v>44</v>
      </c>
      <c r="D54" s="34" t="s">
        <v>62</v>
      </c>
      <c r="E54" s="34" t="s">
        <v>84</v>
      </c>
      <c r="F54" s="31" t="s">
        <v>52</v>
      </c>
      <c r="G54" s="83">
        <f>Лист4!F69</f>
        <v>283.60000000000002</v>
      </c>
      <c r="H54" s="185">
        <f>Лист4!G69</f>
        <v>297.10000000000002</v>
      </c>
    </row>
    <row r="55" spans="1:8">
      <c r="A55" s="138" t="s">
        <v>57</v>
      </c>
      <c r="B55" s="75">
        <v>103</v>
      </c>
      <c r="C55" s="34" t="s">
        <v>44</v>
      </c>
      <c r="D55" s="34" t="s">
        <v>62</v>
      </c>
      <c r="E55" s="34" t="s">
        <v>84</v>
      </c>
      <c r="F55" s="31" t="s">
        <v>58</v>
      </c>
      <c r="G55" s="83">
        <f>Лист4!F70</f>
        <v>0.7</v>
      </c>
      <c r="H55" s="185">
        <f>Лист4!G70</f>
        <v>0.7</v>
      </c>
    </row>
    <row r="56" spans="1:8" ht="29.25">
      <c r="A56" s="138" t="s">
        <v>85</v>
      </c>
      <c r="B56" s="75">
        <v>103</v>
      </c>
      <c r="C56" s="34" t="s">
        <v>44</v>
      </c>
      <c r="D56" s="34" t="s">
        <v>62</v>
      </c>
      <c r="E56" s="34" t="s">
        <v>86</v>
      </c>
      <c r="F56" s="34" t="s">
        <v>42</v>
      </c>
      <c r="G56" s="83">
        <f>Лист4!F71</f>
        <v>254.79999999999998</v>
      </c>
      <c r="H56" s="185">
        <f>Лист4!G71</f>
        <v>266.2</v>
      </c>
    </row>
    <row r="57" spans="1:8" ht="43.5">
      <c r="A57" s="138" t="s">
        <v>51</v>
      </c>
      <c r="B57" s="75">
        <v>103</v>
      </c>
      <c r="C57" s="34" t="s">
        <v>44</v>
      </c>
      <c r="D57" s="34" t="s">
        <v>62</v>
      </c>
      <c r="E57" s="34" t="s">
        <v>86</v>
      </c>
      <c r="F57" s="31" t="s">
        <v>52</v>
      </c>
      <c r="G57" s="83">
        <f>Лист4!F72</f>
        <v>254.1</v>
      </c>
      <c r="H57" s="185">
        <f>Лист4!G72</f>
        <v>265.5</v>
      </c>
    </row>
    <row r="58" spans="1:8">
      <c r="A58" s="138" t="s">
        <v>57</v>
      </c>
      <c r="B58" s="75">
        <v>103</v>
      </c>
      <c r="C58" s="34" t="s">
        <v>44</v>
      </c>
      <c r="D58" s="34" t="s">
        <v>62</v>
      </c>
      <c r="E58" s="34" t="s">
        <v>86</v>
      </c>
      <c r="F58" s="31" t="s">
        <v>58</v>
      </c>
      <c r="G58" s="83">
        <f>Лист4!F73</f>
        <v>0.7</v>
      </c>
      <c r="H58" s="185">
        <f>Лист4!G73</f>
        <v>0.7</v>
      </c>
    </row>
    <row r="59" spans="1:8" ht="29.25">
      <c r="A59" s="138" t="s">
        <v>87</v>
      </c>
      <c r="B59" s="75">
        <v>103</v>
      </c>
      <c r="C59" s="34" t="s">
        <v>44</v>
      </c>
      <c r="D59" s="34" t="s">
        <v>62</v>
      </c>
      <c r="E59" s="34" t="s">
        <v>88</v>
      </c>
      <c r="F59" s="34" t="s">
        <v>42</v>
      </c>
      <c r="G59" s="83">
        <f>Лист4!F74</f>
        <v>497</v>
      </c>
      <c r="H59" s="185">
        <f>Лист4!G74</f>
        <v>520.19999999999993</v>
      </c>
    </row>
    <row r="60" spans="1:8" ht="43.5">
      <c r="A60" s="138" t="s">
        <v>51</v>
      </c>
      <c r="B60" s="75">
        <v>103</v>
      </c>
      <c r="C60" s="34" t="s">
        <v>44</v>
      </c>
      <c r="D60" s="34" t="s">
        <v>62</v>
      </c>
      <c r="E60" s="34" t="s">
        <v>88</v>
      </c>
      <c r="F60" s="31" t="s">
        <v>52</v>
      </c>
      <c r="G60" s="83">
        <f>Лист4!F75</f>
        <v>490.6</v>
      </c>
      <c r="H60" s="185">
        <f>Лист4!G75</f>
        <v>513.79999999999995</v>
      </c>
    </row>
    <row r="61" spans="1:8">
      <c r="A61" s="138" t="s">
        <v>57</v>
      </c>
      <c r="B61" s="75">
        <v>103</v>
      </c>
      <c r="C61" s="34" t="s">
        <v>44</v>
      </c>
      <c r="D61" s="34" t="s">
        <v>62</v>
      </c>
      <c r="E61" s="34" t="s">
        <v>88</v>
      </c>
      <c r="F61" s="31" t="s">
        <v>58</v>
      </c>
      <c r="G61" s="83">
        <f>Лист4!F76</f>
        <v>6.4</v>
      </c>
      <c r="H61" s="185">
        <f>Лист4!G76</f>
        <v>6.4</v>
      </c>
    </row>
    <row r="62" spans="1:8">
      <c r="A62" s="138" t="s">
        <v>89</v>
      </c>
      <c r="B62" s="75">
        <v>103</v>
      </c>
      <c r="C62" s="34" t="s">
        <v>44</v>
      </c>
      <c r="D62" s="34" t="s">
        <v>62</v>
      </c>
      <c r="E62" s="34" t="s">
        <v>90</v>
      </c>
      <c r="F62" s="34" t="s">
        <v>42</v>
      </c>
      <c r="G62" s="83">
        <f>Лист4!F77</f>
        <v>41</v>
      </c>
      <c r="H62" s="185">
        <f>Лист4!G77</f>
        <v>41</v>
      </c>
    </row>
    <row r="63" spans="1:8" ht="43.5">
      <c r="A63" s="138" t="s">
        <v>51</v>
      </c>
      <c r="B63" s="75">
        <v>103</v>
      </c>
      <c r="C63" s="34" t="s">
        <v>44</v>
      </c>
      <c r="D63" s="34" t="s">
        <v>62</v>
      </c>
      <c r="E63" s="34" t="s">
        <v>90</v>
      </c>
      <c r="F63" s="31" t="s">
        <v>52</v>
      </c>
      <c r="G63" s="83">
        <f>Лист4!F78</f>
        <v>1</v>
      </c>
      <c r="H63" s="185">
        <f>Лист4!G78</f>
        <v>1</v>
      </c>
    </row>
    <row r="64" spans="1:8">
      <c r="A64" s="138" t="s">
        <v>57</v>
      </c>
      <c r="B64" s="75">
        <v>103</v>
      </c>
      <c r="C64" s="34" t="s">
        <v>44</v>
      </c>
      <c r="D64" s="34" t="s">
        <v>62</v>
      </c>
      <c r="E64" s="34" t="s">
        <v>90</v>
      </c>
      <c r="F64" s="31" t="s">
        <v>58</v>
      </c>
      <c r="G64" s="83">
        <f>Лист4!F79</f>
        <v>40</v>
      </c>
      <c r="H64" s="185">
        <f>Лист4!G79</f>
        <v>40</v>
      </c>
    </row>
    <row r="65" spans="1:8" ht="29.25">
      <c r="A65" s="138" t="s">
        <v>242</v>
      </c>
      <c r="B65" s="53" t="s">
        <v>66</v>
      </c>
      <c r="C65" s="31" t="s">
        <v>44</v>
      </c>
      <c r="D65" s="31" t="s">
        <v>62</v>
      </c>
      <c r="E65" s="31" t="s">
        <v>243</v>
      </c>
      <c r="F65" s="31" t="s">
        <v>42</v>
      </c>
      <c r="G65" s="46">
        <f>G66</f>
        <v>0.38</v>
      </c>
      <c r="H65" s="202">
        <f>H66</f>
        <v>0.41</v>
      </c>
    </row>
    <row r="66" spans="1:8">
      <c r="A66" s="138" t="s">
        <v>57</v>
      </c>
      <c r="B66" s="53" t="s">
        <v>66</v>
      </c>
      <c r="C66" s="31" t="s">
        <v>44</v>
      </c>
      <c r="D66" s="31" t="s">
        <v>62</v>
      </c>
      <c r="E66" s="31" t="s">
        <v>243</v>
      </c>
      <c r="F66" s="31" t="s">
        <v>58</v>
      </c>
      <c r="G66" s="46">
        <v>0.38</v>
      </c>
      <c r="H66" s="185">
        <v>0.41</v>
      </c>
    </row>
    <row r="67" spans="1:8">
      <c r="A67" s="145" t="s">
        <v>91</v>
      </c>
      <c r="B67" s="106">
        <v>103</v>
      </c>
      <c r="C67" s="100" t="s">
        <v>47</v>
      </c>
      <c r="D67" s="100" t="s">
        <v>40</v>
      </c>
      <c r="E67" s="101" t="s">
        <v>45</v>
      </c>
      <c r="F67" s="101" t="s">
        <v>42</v>
      </c>
      <c r="G67" s="172">
        <f t="shared" ref="G67:H69" si="3">G68</f>
        <v>1219</v>
      </c>
      <c r="H67" s="186">
        <f t="shared" si="3"/>
        <v>1219</v>
      </c>
    </row>
    <row r="68" spans="1:8">
      <c r="A68" s="144" t="s">
        <v>92</v>
      </c>
      <c r="B68" s="75">
        <v>103</v>
      </c>
      <c r="C68" s="33" t="s">
        <v>47</v>
      </c>
      <c r="D68" s="33" t="s">
        <v>54</v>
      </c>
      <c r="E68" s="34" t="s">
        <v>93</v>
      </c>
      <c r="F68" s="34" t="s">
        <v>42</v>
      </c>
      <c r="G68" s="83">
        <f t="shared" si="3"/>
        <v>1219</v>
      </c>
      <c r="H68" s="185">
        <f t="shared" si="3"/>
        <v>1219</v>
      </c>
    </row>
    <row r="69" spans="1:8" ht="28.5">
      <c r="A69" s="144" t="s">
        <v>94</v>
      </c>
      <c r="B69" s="75">
        <v>103</v>
      </c>
      <c r="C69" s="33" t="s">
        <v>47</v>
      </c>
      <c r="D69" s="33" t="s">
        <v>54</v>
      </c>
      <c r="E69" s="31" t="s">
        <v>95</v>
      </c>
      <c r="F69" s="34" t="s">
        <v>42</v>
      </c>
      <c r="G69" s="83">
        <f t="shared" si="3"/>
        <v>1219</v>
      </c>
      <c r="H69" s="185">
        <f t="shared" si="3"/>
        <v>1219</v>
      </c>
    </row>
    <row r="70" spans="1:8">
      <c r="A70" s="133" t="s">
        <v>81</v>
      </c>
      <c r="B70" s="75">
        <v>103</v>
      </c>
      <c r="C70" s="33" t="s">
        <v>47</v>
      </c>
      <c r="D70" s="33" t="s">
        <v>54</v>
      </c>
      <c r="E70" s="31" t="s">
        <v>95</v>
      </c>
      <c r="F70" s="31" t="s">
        <v>96</v>
      </c>
      <c r="G70" s="83">
        <v>1219</v>
      </c>
      <c r="H70" s="185">
        <v>1219</v>
      </c>
    </row>
    <row r="71" spans="1:8">
      <c r="A71" s="145" t="s">
        <v>231</v>
      </c>
      <c r="B71" s="203">
        <v>103</v>
      </c>
      <c r="C71" s="100" t="s">
        <v>68</v>
      </c>
      <c r="D71" s="100" t="s">
        <v>40</v>
      </c>
      <c r="E71" s="101" t="s">
        <v>45</v>
      </c>
      <c r="F71" s="101" t="s">
        <v>42</v>
      </c>
      <c r="G71" s="109">
        <f>G72+G76</f>
        <v>14692</v>
      </c>
      <c r="H71" s="204">
        <f>H72+H76</f>
        <v>14692</v>
      </c>
    </row>
    <row r="72" spans="1:8">
      <c r="A72" s="144" t="s">
        <v>232</v>
      </c>
      <c r="B72" s="75">
        <v>103</v>
      </c>
      <c r="C72" s="33" t="s">
        <v>68</v>
      </c>
      <c r="D72" s="33" t="s">
        <v>233</v>
      </c>
      <c r="E72" s="34" t="s">
        <v>45</v>
      </c>
      <c r="F72" s="34" t="s">
        <v>42</v>
      </c>
      <c r="G72" s="46">
        <f t="shared" ref="G72:H74" si="4">G73</f>
        <v>692</v>
      </c>
      <c r="H72" s="185">
        <f t="shared" si="4"/>
        <v>692</v>
      </c>
    </row>
    <row r="73" spans="1:8">
      <c r="A73" s="144" t="s">
        <v>81</v>
      </c>
      <c r="B73" s="75">
        <v>103</v>
      </c>
      <c r="C73" s="33" t="s">
        <v>68</v>
      </c>
      <c r="D73" s="33" t="s">
        <v>233</v>
      </c>
      <c r="E73" s="34" t="s">
        <v>82</v>
      </c>
      <c r="F73" s="34" t="s">
        <v>42</v>
      </c>
      <c r="G73" s="46">
        <f t="shared" si="4"/>
        <v>692</v>
      </c>
      <c r="H73" s="185">
        <f t="shared" si="4"/>
        <v>692</v>
      </c>
    </row>
    <row r="74" spans="1:8" ht="42.75">
      <c r="A74" s="144" t="s">
        <v>234</v>
      </c>
      <c r="B74" s="75">
        <v>103</v>
      </c>
      <c r="C74" s="33" t="s">
        <v>68</v>
      </c>
      <c r="D74" s="33" t="s">
        <v>233</v>
      </c>
      <c r="E74" s="34" t="s">
        <v>235</v>
      </c>
      <c r="F74" s="34" t="s">
        <v>42</v>
      </c>
      <c r="G74" s="46">
        <f t="shared" si="4"/>
        <v>692</v>
      </c>
      <c r="H74" s="185">
        <f t="shared" si="4"/>
        <v>692</v>
      </c>
    </row>
    <row r="75" spans="1:8">
      <c r="A75" s="133" t="s">
        <v>57</v>
      </c>
      <c r="B75" s="75">
        <v>103</v>
      </c>
      <c r="C75" s="33" t="s">
        <v>194</v>
      </c>
      <c r="D75" s="33" t="s">
        <v>236</v>
      </c>
      <c r="E75" s="34" t="s">
        <v>235</v>
      </c>
      <c r="F75" s="31" t="s">
        <v>58</v>
      </c>
      <c r="G75" s="46">
        <f>108.2+583.8</f>
        <v>692</v>
      </c>
      <c r="H75" s="185">
        <f>108.2+583.8</f>
        <v>692</v>
      </c>
    </row>
    <row r="76" spans="1:8">
      <c r="A76" s="205" t="s">
        <v>237</v>
      </c>
      <c r="B76" s="206" t="s">
        <v>66</v>
      </c>
      <c r="C76" s="207" t="s">
        <v>68</v>
      </c>
      <c r="D76" s="207" t="s">
        <v>107</v>
      </c>
      <c r="E76" s="208" t="s">
        <v>45</v>
      </c>
      <c r="F76" s="208" t="s">
        <v>42</v>
      </c>
      <c r="G76" s="209">
        <f t="shared" ref="G76:H78" si="5">G77</f>
        <v>14000</v>
      </c>
      <c r="H76" s="210">
        <f t="shared" si="5"/>
        <v>14000</v>
      </c>
    </row>
    <row r="77" spans="1:8">
      <c r="A77" s="133" t="s">
        <v>238</v>
      </c>
      <c r="B77" s="53" t="s">
        <v>66</v>
      </c>
      <c r="C77" s="38" t="s">
        <v>68</v>
      </c>
      <c r="D77" s="38" t="s">
        <v>107</v>
      </c>
      <c r="E77" s="31" t="s">
        <v>239</v>
      </c>
      <c r="F77" s="31" t="s">
        <v>42</v>
      </c>
      <c r="G77" s="46">
        <f t="shared" si="5"/>
        <v>14000</v>
      </c>
      <c r="H77" s="202">
        <f t="shared" si="5"/>
        <v>14000</v>
      </c>
    </row>
    <row r="78" spans="1:8">
      <c r="A78" s="133" t="s">
        <v>240</v>
      </c>
      <c r="B78" s="53" t="s">
        <v>66</v>
      </c>
      <c r="C78" s="38" t="s">
        <v>68</v>
      </c>
      <c r="D78" s="38" t="s">
        <v>107</v>
      </c>
      <c r="E78" s="31" t="s">
        <v>241</v>
      </c>
      <c r="F78" s="31" t="s">
        <v>42</v>
      </c>
      <c r="G78" s="46">
        <f t="shared" si="5"/>
        <v>14000</v>
      </c>
      <c r="H78" s="202">
        <f t="shared" si="5"/>
        <v>14000</v>
      </c>
    </row>
    <row r="79" spans="1:8">
      <c r="A79" s="138" t="s">
        <v>57</v>
      </c>
      <c r="B79" s="53" t="s">
        <v>66</v>
      </c>
      <c r="C79" s="38" t="s">
        <v>68</v>
      </c>
      <c r="D79" s="38" t="s">
        <v>107</v>
      </c>
      <c r="E79" s="31" t="s">
        <v>241</v>
      </c>
      <c r="F79" s="31" t="s">
        <v>58</v>
      </c>
      <c r="G79" s="46">
        <v>14000</v>
      </c>
      <c r="H79" s="185">
        <v>14000</v>
      </c>
    </row>
    <row r="80" spans="1:8">
      <c r="A80" s="146" t="s">
        <v>97</v>
      </c>
      <c r="B80" s="77" t="s">
        <v>66</v>
      </c>
      <c r="C80" s="47" t="s">
        <v>98</v>
      </c>
      <c r="D80" s="47" t="s">
        <v>40</v>
      </c>
      <c r="E80" s="49" t="s">
        <v>45</v>
      </c>
      <c r="F80" s="48" t="s">
        <v>42</v>
      </c>
      <c r="G80" s="173">
        <f t="shared" ref="G80:H84" si="6">G81</f>
        <v>3586</v>
      </c>
      <c r="H80" s="187">
        <f t="shared" si="6"/>
        <v>4931</v>
      </c>
    </row>
    <row r="81" spans="1:8">
      <c r="A81" s="139" t="s">
        <v>99</v>
      </c>
      <c r="B81" s="69" t="s">
        <v>66</v>
      </c>
      <c r="C81" s="39" t="s">
        <v>98</v>
      </c>
      <c r="D81" s="39" t="s">
        <v>54</v>
      </c>
      <c r="E81" s="40" t="s">
        <v>45</v>
      </c>
      <c r="F81" s="41" t="s">
        <v>42</v>
      </c>
      <c r="G81" s="166">
        <f t="shared" si="6"/>
        <v>3586</v>
      </c>
      <c r="H81" s="184">
        <f t="shared" si="6"/>
        <v>4931</v>
      </c>
    </row>
    <row r="82" spans="1:8" ht="29.25">
      <c r="A82" s="147" t="s">
        <v>100</v>
      </c>
      <c r="B82" s="107" t="s">
        <v>66</v>
      </c>
      <c r="C82" s="38" t="s">
        <v>98</v>
      </c>
      <c r="D82" s="38" t="s">
        <v>54</v>
      </c>
      <c r="E82" s="32" t="s">
        <v>101</v>
      </c>
      <c r="F82" s="31" t="s">
        <v>42</v>
      </c>
      <c r="G82" s="83">
        <f t="shared" si="6"/>
        <v>3586</v>
      </c>
      <c r="H82" s="185">
        <f t="shared" si="6"/>
        <v>4931</v>
      </c>
    </row>
    <row r="83" spans="1:8">
      <c r="A83" s="147" t="s">
        <v>102</v>
      </c>
      <c r="B83" s="107" t="s">
        <v>66</v>
      </c>
      <c r="C83" s="38" t="s">
        <v>98</v>
      </c>
      <c r="D83" s="38" t="s">
        <v>54</v>
      </c>
      <c r="E83" s="32" t="s">
        <v>103</v>
      </c>
      <c r="F83" s="31" t="s">
        <v>42</v>
      </c>
      <c r="G83" s="83">
        <f t="shared" si="6"/>
        <v>3586</v>
      </c>
      <c r="H83" s="185">
        <f t="shared" si="6"/>
        <v>4931</v>
      </c>
    </row>
    <row r="84" spans="1:8">
      <c r="A84" s="147" t="s">
        <v>104</v>
      </c>
      <c r="B84" s="107" t="s">
        <v>66</v>
      </c>
      <c r="C84" s="38" t="s">
        <v>98</v>
      </c>
      <c r="D84" s="38" t="s">
        <v>54</v>
      </c>
      <c r="E84" s="32" t="s">
        <v>105</v>
      </c>
      <c r="F84" s="31" t="s">
        <v>42</v>
      </c>
      <c r="G84" s="83">
        <f t="shared" si="6"/>
        <v>3586</v>
      </c>
      <c r="H84" s="185">
        <f t="shared" si="6"/>
        <v>4931</v>
      </c>
    </row>
    <row r="85" spans="1:8">
      <c r="A85" s="138" t="s">
        <v>57</v>
      </c>
      <c r="B85" s="107" t="s">
        <v>66</v>
      </c>
      <c r="C85" s="38" t="s">
        <v>98</v>
      </c>
      <c r="D85" s="38" t="s">
        <v>54</v>
      </c>
      <c r="E85" s="32" t="s">
        <v>105</v>
      </c>
      <c r="F85" s="31" t="s">
        <v>58</v>
      </c>
      <c r="G85" s="83">
        <f>Лист4!F105</f>
        <v>3586</v>
      </c>
      <c r="H85" s="185">
        <f>Лист4!G105</f>
        <v>4931</v>
      </c>
    </row>
    <row r="86" spans="1:8">
      <c r="A86" s="146" t="s">
        <v>106</v>
      </c>
      <c r="B86" s="77" t="s">
        <v>66</v>
      </c>
      <c r="C86" s="48" t="s">
        <v>107</v>
      </c>
      <c r="D86" s="48" t="s">
        <v>40</v>
      </c>
      <c r="E86" s="48" t="s">
        <v>45</v>
      </c>
      <c r="F86" s="48" t="s">
        <v>42</v>
      </c>
      <c r="G86" s="173">
        <f>G88</f>
        <v>252.5</v>
      </c>
      <c r="H86" s="187">
        <f>H88</f>
        <v>265.10000000000002</v>
      </c>
    </row>
    <row r="87" spans="1:8">
      <c r="A87" s="137" t="s">
        <v>108</v>
      </c>
      <c r="B87" s="75" t="s">
        <v>66</v>
      </c>
      <c r="C87" s="34" t="s">
        <v>107</v>
      </c>
      <c r="D87" s="34" t="s">
        <v>109</v>
      </c>
      <c r="E87" s="34" t="s">
        <v>45</v>
      </c>
      <c r="F87" s="34" t="s">
        <v>42</v>
      </c>
      <c r="G87" s="83">
        <f t="shared" ref="G87:H89" si="7">G88</f>
        <v>252.5</v>
      </c>
      <c r="H87" s="185">
        <f t="shared" si="7"/>
        <v>265.10000000000002</v>
      </c>
    </row>
    <row r="88" spans="1:8">
      <c r="A88" s="144" t="s">
        <v>81</v>
      </c>
      <c r="B88" s="75" t="s">
        <v>66</v>
      </c>
      <c r="C88" s="34" t="s">
        <v>107</v>
      </c>
      <c r="D88" s="34" t="s">
        <v>109</v>
      </c>
      <c r="E88" s="34" t="s">
        <v>82</v>
      </c>
      <c r="F88" s="34" t="s">
        <v>42</v>
      </c>
      <c r="G88" s="83">
        <f t="shared" si="7"/>
        <v>252.5</v>
      </c>
      <c r="H88" s="185">
        <f t="shared" si="7"/>
        <v>265.10000000000002</v>
      </c>
    </row>
    <row r="89" spans="1:8" ht="86.25">
      <c r="A89" s="148" t="s">
        <v>110</v>
      </c>
      <c r="B89" s="75" t="s">
        <v>66</v>
      </c>
      <c r="C89" s="34" t="s">
        <v>107</v>
      </c>
      <c r="D89" s="34" t="s">
        <v>109</v>
      </c>
      <c r="E89" s="34" t="s">
        <v>111</v>
      </c>
      <c r="F89" s="34" t="s">
        <v>42</v>
      </c>
      <c r="G89" s="83">
        <f t="shared" si="7"/>
        <v>252.5</v>
      </c>
      <c r="H89" s="185">
        <f t="shared" si="7"/>
        <v>265.10000000000002</v>
      </c>
    </row>
    <row r="90" spans="1:8">
      <c r="A90" s="138" t="s">
        <v>57</v>
      </c>
      <c r="B90" s="75" t="s">
        <v>66</v>
      </c>
      <c r="C90" s="34" t="s">
        <v>107</v>
      </c>
      <c r="D90" s="34" t="s">
        <v>109</v>
      </c>
      <c r="E90" s="34" t="s">
        <v>111</v>
      </c>
      <c r="F90" s="31" t="s">
        <v>58</v>
      </c>
      <c r="G90" s="83">
        <f>Лист4!F179</f>
        <v>252.5</v>
      </c>
      <c r="H90" s="185">
        <f>Лист4!G179</f>
        <v>265.10000000000002</v>
      </c>
    </row>
    <row r="91" spans="1:8">
      <c r="A91" s="149" t="s">
        <v>112</v>
      </c>
      <c r="B91" s="74" t="s">
        <v>113</v>
      </c>
      <c r="C91" s="68" t="s">
        <v>40</v>
      </c>
      <c r="D91" s="68" t="s">
        <v>40</v>
      </c>
      <c r="E91" s="68" t="s">
        <v>45</v>
      </c>
      <c r="F91" s="68" t="s">
        <v>42</v>
      </c>
      <c r="G91" s="174">
        <f>G93</f>
        <v>1083.5</v>
      </c>
      <c r="H91" s="188">
        <f>H93</f>
        <v>1102.5</v>
      </c>
    </row>
    <row r="92" spans="1:8">
      <c r="A92" s="65" t="s">
        <v>43</v>
      </c>
      <c r="B92" s="80" t="s">
        <v>113</v>
      </c>
      <c r="C92" s="66" t="s">
        <v>44</v>
      </c>
      <c r="D92" s="66" t="s">
        <v>40</v>
      </c>
      <c r="E92" s="66" t="s">
        <v>45</v>
      </c>
      <c r="F92" s="105" t="s">
        <v>42</v>
      </c>
      <c r="G92" s="168">
        <f t="shared" ref="G92:H94" si="8">G93</f>
        <v>1083.5</v>
      </c>
      <c r="H92" s="97">
        <f t="shared" si="8"/>
        <v>1102.5</v>
      </c>
    </row>
    <row r="93" spans="1:8" ht="30">
      <c r="A93" s="141" t="s">
        <v>114</v>
      </c>
      <c r="B93" s="69" t="s">
        <v>113</v>
      </c>
      <c r="C93" s="44" t="s">
        <v>44</v>
      </c>
      <c r="D93" s="44" t="s">
        <v>98</v>
      </c>
      <c r="E93" s="45" t="s">
        <v>45</v>
      </c>
      <c r="F93" s="45" t="s">
        <v>42</v>
      </c>
      <c r="G93" s="166">
        <f t="shared" si="8"/>
        <v>1083.5</v>
      </c>
      <c r="H93" s="184">
        <f t="shared" si="8"/>
        <v>1102.5</v>
      </c>
    </row>
    <row r="94" spans="1:8" ht="29.25">
      <c r="A94" s="137" t="s">
        <v>48</v>
      </c>
      <c r="B94" s="75" t="s">
        <v>113</v>
      </c>
      <c r="C94" s="33" t="s">
        <v>44</v>
      </c>
      <c r="D94" s="33" t="s">
        <v>98</v>
      </c>
      <c r="E94" s="34" t="s">
        <v>49</v>
      </c>
      <c r="F94" s="34" t="s">
        <v>42</v>
      </c>
      <c r="G94" s="83">
        <f t="shared" si="8"/>
        <v>1083.5</v>
      </c>
      <c r="H94" s="185">
        <f t="shared" si="8"/>
        <v>1102.5</v>
      </c>
    </row>
    <row r="95" spans="1:8">
      <c r="A95" s="144" t="s">
        <v>69</v>
      </c>
      <c r="B95" s="53" t="s">
        <v>113</v>
      </c>
      <c r="C95" s="33" t="s">
        <v>44</v>
      </c>
      <c r="D95" s="33" t="s">
        <v>98</v>
      </c>
      <c r="E95" s="34" t="s">
        <v>56</v>
      </c>
      <c r="F95" s="34" t="s">
        <v>42</v>
      </c>
      <c r="G95" s="83">
        <f>G96+G97+G98</f>
        <v>1083.5</v>
      </c>
      <c r="H95" s="185">
        <f>H96+H97+H98</f>
        <v>1102.5</v>
      </c>
    </row>
    <row r="96" spans="1:8" ht="43.5">
      <c r="A96" s="138" t="s">
        <v>51</v>
      </c>
      <c r="B96" s="76" t="s">
        <v>113</v>
      </c>
      <c r="C96" s="33" t="s">
        <v>44</v>
      </c>
      <c r="D96" s="33" t="s">
        <v>98</v>
      </c>
      <c r="E96" s="34" t="s">
        <v>56</v>
      </c>
      <c r="F96" s="31" t="s">
        <v>52</v>
      </c>
      <c r="G96" s="83">
        <v>835</v>
      </c>
      <c r="H96" s="185">
        <v>845</v>
      </c>
    </row>
    <row r="97" spans="1:8">
      <c r="A97" s="138" t="s">
        <v>57</v>
      </c>
      <c r="B97" s="76" t="s">
        <v>113</v>
      </c>
      <c r="C97" s="33" t="s">
        <v>44</v>
      </c>
      <c r="D97" s="33" t="s">
        <v>98</v>
      </c>
      <c r="E97" s="34" t="s">
        <v>56</v>
      </c>
      <c r="F97" s="31" t="s">
        <v>58</v>
      </c>
      <c r="G97" s="83">
        <v>240</v>
      </c>
      <c r="H97" s="185">
        <v>249</v>
      </c>
    </row>
    <row r="98" spans="1:8">
      <c r="A98" s="138" t="s">
        <v>59</v>
      </c>
      <c r="B98" s="76" t="s">
        <v>113</v>
      </c>
      <c r="C98" s="33" t="s">
        <v>44</v>
      </c>
      <c r="D98" s="33" t="s">
        <v>98</v>
      </c>
      <c r="E98" s="34" t="s">
        <v>56</v>
      </c>
      <c r="F98" s="31" t="s">
        <v>60</v>
      </c>
      <c r="G98" s="83">
        <f>8.5</f>
        <v>8.5</v>
      </c>
      <c r="H98" s="185">
        <f>8.5</f>
        <v>8.5</v>
      </c>
    </row>
    <row r="99" spans="1:8" ht="30">
      <c r="A99" s="149" t="s">
        <v>115</v>
      </c>
      <c r="B99" s="74" t="s">
        <v>227</v>
      </c>
      <c r="C99" s="67" t="s">
        <v>40</v>
      </c>
      <c r="D99" s="67" t="s">
        <v>40</v>
      </c>
      <c r="E99" s="67" t="s">
        <v>45</v>
      </c>
      <c r="F99" s="67" t="s">
        <v>42</v>
      </c>
      <c r="G99" s="167">
        <f t="shared" ref="G99:H101" si="9">G100</f>
        <v>2708</v>
      </c>
      <c r="H99" s="183">
        <f t="shared" si="9"/>
        <v>2770</v>
      </c>
    </row>
    <row r="100" spans="1:8">
      <c r="A100" s="65" t="s">
        <v>43</v>
      </c>
      <c r="B100" s="80" t="s">
        <v>227</v>
      </c>
      <c r="C100" s="66" t="s">
        <v>44</v>
      </c>
      <c r="D100" s="66" t="s">
        <v>40</v>
      </c>
      <c r="E100" s="66" t="s">
        <v>45</v>
      </c>
      <c r="F100" s="105" t="s">
        <v>42</v>
      </c>
      <c r="G100" s="168">
        <f t="shared" si="9"/>
        <v>2708</v>
      </c>
      <c r="H100" s="97">
        <f t="shared" si="9"/>
        <v>2770</v>
      </c>
    </row>
    <row r="101" spans="1:8">
      <c r="A101" s="141" t="s">
        <v>61</v>
      </c>
      <c r="B101" s="69" t="s">
        <v>227</v>
      </c>
      <c r="C101" s="44" t="s">
        <v>44</v>
      </c>
      <c r="D101" s="44" t="s">
        <v>62</v>
      </c>
      <c r="E101" s="45" t="s">
        <v>45</v>
      </c>
      <c r="F101" s="45" t="s">
        <v>42</v>
      </c>
      <c r="G101" s="166">
        <f t="shared" si="9"/>
        <v>2708</v>
      </c>
      <c r="H101" s="184">
        <f t="shared" si="9"/>
        <v>2770</v>
      </c>
    </row>
    <row r="102" spans="1:8" ht="29.25">
      <c r="A102" s="137" t="s">
        <v>48</v>
      </c>
      <c r="B102" s="75" t="s">
        <v>227</v>
      </c>
      <c r="C102" s="33" t="s">
        <v>44</v>
      </c>
      <c r="D102" s="33" t="s">
        <v>62</v>
      </c>
      <c r="E102" s="34" t="s">
        <v>49</v>
      </c>
      <c r="F102" s="34" t="s">
        <v>42</v>
      </c>
      <c r="G102" s="83">
        <f>G103+G106</f>
        <v>2708</v>
      </c>
      <c r="H102" s="185">
        <f>H103+H106</f>
        <v>2770</v>
      </c>
    </row>
    <row r="103" spans="1:8">
      <c r="A103" s="144" t="s">
        <v>69</v>
      </c>
      <c r="B103" s="75" t="s">
        <v>227</v>
      </c>
      <c r="C103" s="33" t="s">
        <v>44</v>
      </c>
      <c r="D103" s="33" t="s">
        <v>62</v>
      </c>
      <c r="E103" s="34" t="s">
        <v>56</v>
      </c>
      <c r="F103" s="34" t="s">
        <v>42</v>
      </c>
      <c r="G103" s="83">
        <f>G104+G105</f>
        <v>2696</v>
      </c>
      <c r="H103" s="185">
        <f>H104+H105</f>
        <v>2758</v>
      </c>
    </row>
    <row r="104" spans="1:8" ht="43.5">
      <c r="A104" s="138" t="s">
        <v>51</v>
      </c>
      <c r="B104" s="53" t="s">
        <v>227</v>
      </c>
      <c r="C104" s="33" t="s">
        <v>44</v>
      </c>
      <c r="D104" s="38" t="s">
        <v>62</v>
      </c>
      <c r="E104" s="34" t="s">
        <v>56</v>
      </c>
      <c r="F104" s="31" t="s">
        <v>52</v>
      </c>
      <c r="G104" s="83">
        <v>1434</v>
      </c>
      <c r="H104" s="185">
        <v>1452</v>
      </c>
    </row>
    <row r="105" spans="1:8">
      <c r="A105" s="138" t="s">
        <v>57</v>
      </c>
      <c r="B105" s="76" t="s">
        <v>227</v>
      </c>
      <c r="C105" s="33" t="s">
        <v>44</v>
      </c>
      <c r="D105" s="38" t="s">
        <v>62</v>
      </c>
      <c r="E105" s="34" t="s">
        <v>56</v>
      </c>
      <c r="F105" s="31" t="s">
        <v>58</v>
      </c>
      <c r="G105" s="83">
        <f>1467-205</f>
        <v>1262</v>
      </c>
      <c r="H105" s="185">
        <f>1511-205</f>
        <v>1306</v>
      </c>
    </row>
    <row r="106" spans="1:8">
      <c r="A106" s="142" t="s">
        <v>63</v>
      </c>
      <c r="B106" s="76" t="s">
        <v>227</v>
      </c>
      <c r="C106" s="31" t="s">
        <v>44</v>
      </c>
      <c r="D106" s="31" t="s">
        <v>62</v>
      </c>
      <c r="E106" s="32" t="s">
        <v>64</v>
      </c>
      <c r="F106" s="32" t="s">
        <v>42</v>
      </c>
      <c r="G106" s="84">
        <f>G107</f>
        <v>12</v>
      </c>
      <c r="H106" s="182">
        <f>H107</f>
        <v>12</v>
      </c>
    </row>
    <row r="107" spans="1:8">
      <c r="A107" s="138" t="s">
        <v>59</v>
      </c>
      <c r="B107" s="76" t="s">
        <v>227</v>
      </c>
      <c r="C107" s="31" t="s">
        <v>44</v>
      </c>
      <c r="D107" s="31" t="s">
        <v>62</v>
      </c>
      <c r="E107" s="32" t="s">
        <v>64</v>
      </c>
      <c r="F107" s="32" t="s">
        <v>60</v>
      </c>
      <c r="G107" s="84">
        <v>12</v>
      </c>
      <c r="H107" s="182">
        <v>12</v>
      </c>
    </row>
    <row r="108" spans="1:8" ht="30">
      <c r="A108" s="143" t="s">
        <v>116</v>
      </c>
      <c r="B108" s="74" t="s">
        <v>117</v>
      </c>
      <c r="C108" s="67" t="s">
        <v>40</v>
      </c>
      <c r="D108" s="67" t="s">
        <v>40</v>
      </c>
      <c r="E108" s="67" t="s">
        <v>45</v>
      </c>
      <c r="F108" s="67" t="s">
        <v>42</v>
      </c>
      <c r="G108" s="167">
        <f t="shared" ref="G108:H112" si="10">G109</f>
        <v>712.8</v>
      </c>
      <c r="H108" s="183">
        <f t="shared" si="10"/>
        <v>750.8</v>
      </c>
    </row>
    <row r="109" spans="1:8">
      <c r="A109" s="150" t="s">
        <v>118</v>
      </c>
      <c r="B109" s="77" t="s">
        <v>117</v>
      </c>
      <c r="C109" s="49" t="s">
        <v>54</v>
      </c>
      <c r="D109" s="47" t="s">
        <v>40</v>
      </c>
      <c r="E109" s="49" t="s">
        <v>45</v>
      </c>
      <c r="F109" s="49" t="s">
        <v>42</v>
      </c>
      <c r="G109" s="173">
        <f t="shared" si="10"/>
        <v>712.8</v>
      </c>
      <c r="H109" s="187">
        <f t="shared" si="10"/>
        <v>750.8</v>
      </c>
    </row>
    <row r="110" spans="1:8" ht="29.25">
      <c r="A110" s="137" t="s">
        <v>119</v>
      </c>
      <c r="B110" s="75" t="s">
        <v>117</v>
      </c>
      <c r="C110" s="32" t="s">
        <v>54</v>
      </c>
      <c r="D110" s="38" t="s">
        <v>107</v>
      </c>
      <c r="E110" s="32" t="s">
        <v>45</v>
      </c>
      <c r="F110" s="32" t="s">
        <v>42</v>
      </c>
      <c r="G110" s="83">
        <f t="shared" si="10"/>
        <v>712.8</v>
      </c>
      <c r="H110" s="185">
        <f t="shared" si="10"/>
        <v>750.8</v>
      </c>
    </row>
    <row r="111" spans="1:8">
      <c r="A111" s="137" t="s">
        <v>120</v>
      </c>
      <c r="B111" s="75" t="s">
        <v>117</v>
      </c>
      <c r="C111" s="32" t="s">
        <v>54</v>
      </c>
      <c r="D111" s="38" t="s">
        <v>107</v>
      </c>
      <c r="E111" s="32" t="s">
        <v>121</v>
      </c>
      <c r="F111" s="32" t="s">
        <v>42</v>
      </c>
      <c r="G111" s="83">
        <f t="shared" si="10"/>
        <v>712.8</v>
      </c>
      <c r="H111" s="185">
        <f t="shared" si="10"/>
        <v>750.8</v>
      </c>
    </row>
    <row r="112" spans="1:8" ht="29.25">
      <c r="A112" s="137" t="s">
        <v>122</v>
      </c>
      <c r="B112" s="75" t="s">
        <v>117</v>
      </c>
      <c r="C112" s="32" t="s">
        <v>54</v>
      </c>
      <c r="D112" s="38" t="s">
        <v>107</v>
      </c>
      <c r="E112" s="32" t="s">
        <v>123</v>
      </c>
      <c r="F112" s="32" t="s">
        <v>42</v>
      </c>
      <c r="G112" s="83">
        <f t="shared" si="10"/>
        <v>712.8</v>
      </c>
      <c r="H112" s="185">
        <f t="shared" si="10"/>
        <v>750.8</v>
      </c>
    </row>
    <row r="113" spans="1:8" ht="43.5">
      <c r="A113" s="138" t="s">
        <v>51</v>
      </c>
      <c r="B113" s="76" t="s">
        <v>117</v>
      </c>
      <c r="C113" s="32" t="s">
        <v>54</v>
      </c>
      <c r="D113" s="38" t="s">
        <v>107</v>
      </c>
      <c r="E113" s="32" t="s">
        <v>123</v>
      </c>
      <c r="F113" s="32" t="s">
        <v>52</v>
      </c>
      <c r="G113" s="83">
        <f>766.8-54</f>
        <v>712.8</v>
      </c>
      <c r="H113" s="185">
        <f>804.8-54</f>
        <v>750.8</v>
      </c>
    </row>
    <row r="114" spans="1:8" ht="30">
      <c r="A114" s="143" t="s">
        <v>124</v>
      </c>
      <c r="B114" s="74" t="s">
        <v>125</v>
      </c>
      <c r="C114" s="67" t="s">
        <v>40</v>
      </c>
      <c r="D114" s="67" t="s">
        <v>40</v>
      </c>
      <c r="E114" s="67" t="s">
        <v>45</v>
      </c>
      <c r="F114" s="67" t="s">
        <v>42</v>
      </c>
      <c r="G114" s="167">
        <f>G115+G124+G169</f>
        <v>330636.10000000003</v>
      </c>
      <c r="H114" s="183">
        <f>H115+H124+H169</f>
        <v>334328.79999999993</v>
      </c>
    </row>
    <row r="115" spans="1:8">
      <c r="A115" s="146" t="s">
        <v>43</v>
      </c>
      <c r="B115" s="77" t="s">
        <v>125</v>
      </c>
      <c r="C115" s="49" t="s">
        <v>44</v>
      </c>
      <c r="D115" s="49" t="s">
        <v>40</v>
      </c>
      <c r="E115" s="49" t="s">
        <v>45</v>
      </c>
      <c r="F115" s="48" t="s">
        <v>42</v>
      </c>
      <c r="G115" s="175">
        <f>G116</f>
        <v>1216.7</v>
      </c>
      <c r="H115" s="189">
        <f>H116</f>
        <v>1242.5999999999999</v>
      </c>
    </row>
    <row r="116" spans="1:8" ht="45">
      <c r="A116" s="139" t="s">
        <v>67</v>
      </c>
      <c r="B116" s="69" t="s">
        <v>125</v>
      </c>
      <c r="C116" s="44" t="s">
        <v>44</v>
      </c>
      <c r="D116" s="44" t="s">
        <v>68</v>
      </c>
      <c r="E116" s="43" t="s">
        <v>45</v>
      </c>
      <c r="F116" s="45" t="s">
        <v>42</v>
      </c>
      <c r="G116" s="166">
        <f>G117+G121</f>
        <v>1216.7</v>
      </c>
      <c r="H116" s="184">
        <f>H117+H121</f>
        <v>1242.5999999999999</v>
      </c>
    </row>
    <row r="117" spans="1:8" ht="29.25">
      <c r="A117" s="137" t="s">
        <v>48</v>
      </c>
      <c r="B117" s="75" t="s">
        <v>125</v>
      </c>
      <c r="C117" s="33" t="s">
        <v>44</v>
      </c>
      <c r="D117" s="33" t="s">
        <v>68</v>
      </c>
      <c r="E117" s="34" t="s">
        <v>49</v>
      </c>
      <c r="F117" s="34" t="s">
        <v>42</v>
      </c>
      <c r="G117" s="83">
        <f>G118</f>
        <v>950</v>
      </c>
      <c r="H117" s="185">
        <f>H118</f>
        <v>963</v>
      </c>
    </row>
    <row r="118" spans="1:8">
      <c r="A118" s="144" t="s">
        <v>69</v>
      </c>
      <c r="B118" s="75" t="s">
        <v>125</v>
      </c>
      <c r="C118" s="33" t="s">
        <v>44</v>
      </c>
      <c r="D118" s="33" t="s">
        <v>68</v>
      </c>
      <c r="E118" s="34" t="s">
        <v>56</v>
      </c>
      <c r="F118" s="34" t="s">
        <v>42</v>
      </c>
      <c r="G118" s="83">
        <f>G119+G120</f>
        <v>950</v>
      </c>
      <c r="H118" s="185">
        <f>H119+H120</f>
        <v>963</v>
      </c>
    </row>
    <row r="119" spans="1:8">
      <c r="A119" s="144" t="s">
        <v>70</v>
      </c>
      <c r="B119" s="75" t="s">
        <v>125</v>
      </c>
      <c r="C119" s="33" t="s">
        <v>44</v>
      </c>
      <c r="D119" s="33" t="s">
        <v>68</v>
      </c>
      <c r="E119" s="34" t="s">
        <v>56</v>
      </c>
      <c r="F119" s="31" t="s">
        <v>52</v>
      </c>
      <c r="G119" s="84">
        <v>903</v>
      </c>
      <c r="H119" s="182">
        <v>914</v>
      </c>
    </row>
    <row r="120" spans="1:8">
      <c r="A120" s="138" t="s">
        <v>57</v>
      </c>
      <c r="B120" s="75" t="s">
        <v>125</v>
      </c>
      <c r="C120" s="33" t="s">
        <v>44</v>
      </c>
      <c r="D120" s="33" t="s">
        <v>68</v>
      </c>
      <c r="E120" s="34" t="s">
        <v>56</v>
      </c>
      <c r="F120" s="31" t="s">
        <v>58</v>
      </c>
      <c r="G120" s="84">
        <v>47</v>
      </c>
      <c r="H120" s="182">
        <v>49</v>
      </c>
    </row>
    <row r="121" spans="1:8">
      <c r="A121" s="133" t="s">
        <v>81</v>
      </c>
      <c r="B121" s="53" t="s">
        <v>125</v>
      </c>
      <c r="C121" s="34" t="s">
        <v>44</v>
      </c>
      <c r="D121" s="31" t="s">
        <v>68</v>
      </c>
      <c r="E121" s="34" t="s">
        <v>82</v>
      </c>
      <c r="F121" s="31" t="s">
        <v>42</v>
      </c>
      <c r="G121" s="83">
        <f>G122</f>
        <v>266.7</v>
      </c>
      <c r="H121" s="185">
        <f>H122</f>
        <v>279.60000000000002</v>
      </c>
    </row>
    <row r="122" spans="1:8">
      <c r="A122" s="133" t="s">
        <v>126</v>
      </c>
      <c r="B122" s="53" t="s">
        <v>125</v>
      </c>
      <c r="C122" s="31" t="s">
        <v>44</v>
      </c>
      <c r="D122" s="31" t="s">
        <v>68</v>
      </c>
      <c r="E122" s="34" t="s">
        <v>127</v>
      </c>
      <c r="F122" s="34" t="s">
        <v>42</v>
      </c>
      <c r="G122" s="83">
        <f>G123</f>
        <v>266.7</v>
      </c>
      <c r="H122" s="185">
        <f>H123</f>
        <v>279.60000000000002</v>
      </c>
    </row>
    <row r="123" spans="1:8" ht="43.5">
      <c r="A123" s="138" t="s">
        <v>51</v>
      </c>
      <c r="B123" s="76" t="s">
        <v>125</v>
      </c>
      <c r="C123" s="31" t="s">
        <v>44</v>
      </c>
      <c r="D123" s="31" t="s">
        <v>68</v>
      </c>
      <c r="E123" s="34" t="s">
        <v>127</v>
      </c>
      <c r="F123" s="31" t="s">
        <v>52</v>
      </c>
      <c r="G123" s="83">
        <f>Лист4!F28</f>
        <v>266.7</v>
      </c>
      <c r="H123" s="185">
        <f>Лист4!G28</f>
        <v>279.60000000000002</v>
      </c>
    </row>
    <row r="124" spans="1:8">
      <c r="A124" s="151" t="s">
        <v>128</v>
      </c>
      <c r="B124" s="77" t="s">
        <v>125</v>
      </c>
      <c r="C124" s="47" t="s">
        <v>109</v>
      </c>
      <c r="D124" s="47" t="s">
        <v>40</v>
      </c>
      <c r="E124" s="48" t="s">
        <v>45</v>
      </c>
      <c r="F124" s="48" t="s">
        <v>42</v>
      </c>
      <c r="G124" s="173">
        <f>G125+G135+G153</f>
        <v>322695.7</v>
      </c>
      <c r="H124" s="187">
        <f>H125+H135+H153</f>
        <v>326066.49999999994</v>
      </c>
    </row>
    <row r="125" spans="1:8">
      <c r="A125" s="152" t="s">
        <v>129</v>
      </c>
      <c r="B125" s="104" t="s">
        <v>125</v>
      </c>
      <c r="C125" s="45" t="s">
        <v>109</v>
      </c>
      <c r="D125" s="45" t="s">
        <v>44</v>
      </c>
      <c r="E125" s="45" t="s">
        <v>41</v>
      </c>
      <c r="F125" s="45" t="s">
        <v>42</v>
      </c>
      <c r="G125" s="166">
        <f>G126</f>
        <v>45882.5</v>
      </c>
      <c r="H125" s="184">
        <f>H126</f>
        <v>47023.6</v>
      </c>
    </row>
    <row r="126" spans="1:8">
      <c r="A126" s="152" t="s">
        <v>130</v>
      </c>
      <c r="B126" s="104" t="s">
        <v>125</v>
      </c>
      <c r="C126" s="45" t="s">
        <v>109</v>
      </c>
      <c r="D126" s="45" t="s">
        <v>44</v>
      </c>
      <c r="E126" s="45" t="s">
        <v>131</v>
      </c>
      <c r="F126" s="45" t="s">
        <v>42</v>
      </c>
      <c r="G126" s="166">
        <f>G127+G129+G131</f>
        <v>45882.5</v>
      </c>
      <c r="H126" s="184">
        <f>H127+H129+H131</f>
        <v>47023.6</v>
      </c>
    </row>
    <row r="127" spans="1:8">
      <c r="A127" s="153" t="s">
        <v>132</v>
      </c>
      <c r="B127" s="54" t="s">
        <v>125</v>
      </c>
      <c r="C127" s="31" t="s">
        <v>109</v>
      </c>
      <c r="D127" s="31" t="s">
        <v>44</v>
      </c>
      <c r="E127" s="31" t="s">
        <v>133</v>
      </c>
      <c r="F127" s="31" t="s">
        <v>42</v>
      </c>
      <c r="G127" s="84">
        <f>G128</f>
        <v>3686</v>
      </c>
      <c r="H127" s="182">
        <f>H128</f>
        <v>3739.1</v>
      </c>
    </row>
    <row r="128" spans="1:8">
      <c r="A128" s="138" t="s">
        <v>134</v>
      </c>
      <c r="B128" s="54" t="s">
        <v>125</v>
      </c>
      <c r="C128" s="31" t="s">
        <v>109</v>
      </c>
      <c r="D128" s="31" t="s">
        <v>44</v>
      </c>
      <c r="E128" s="31" t="s">
        <v>133</v>
      </c>
      <c r="F128" s="31" t="s">
        <v>135</v>
      </c>
      <c r="G128" s="84">
        <f>4000+3586-3900</f>
        <v>3686</v>
      </c>
      <c r="H128" s="182">
        <f>2300+1159.5+279.6</f>
        <v>3739.1</v>
      </c>
    </row>
    <row r="129" spans="1:11" ht="29.25">
      <c r="A129" s="138" t="s">
        <v>136</v>
      </c>
      <c r="B129" s="54" t="s">
        <v>125</v>
      </c>
      <c r="C129" s="31" t="s">
        <v>109</v>
      </c>
      <c r="D129" s="31" t="s">
        <v>44</v>
      </c>
      <c r="E129" s="31" t="s">
        <v>137</v>
      </c>
      <c r="F129" s="31" t="s">
        <v>42</v>
      </c>
      <c r="G129" s="84">
        <f>G130</f>
        <v>23112</v>
      </c>
      <c r="H129" s="182">
        <f>H130</f>
        <v>24200</v>
      </c>
    </row>
    <row r="130" spans="1:11" ht="43.5">
      <c r="A130" s="138" t="s">
        <v>51</v>
      </c>
      <c r="B130" s="54" t="s">
        <v>125</v>
      </c>
      <c r="C130" s="31" t="s">
        <v>109</v>
      </c>
      <c r="D130" s="31" t="s">
        <v>44</v>
      </c>
      <c r="E130" s="31" t="s">
        <v>137</v>
      </c>
      <c r="F130" s="31" t="s">
        <v>135</v>
      </c>
      <c r="G130" s="84">
        <f>27112-4000</f>
        <v>23112</v>
      </c>
      <c r="H130" s="182">
        <v>24200</v>
      </c>
    </row>
    <row r="131" spans="1:11">
      <c r="A131" s="153" t="s">
        <v>81</v>
      </c>
      <c r="B131" s="54" t="s">
        <v>125</v>
      </c>
      <c r="C131" s="31" t="s">
        <v>109</v>
      </c>
      <c r="D131" s="34" t="s">
        <v>44</v>
      </c>
      <c r="E131" s="31" t="s">
        <v>82</v>
      </c>
      <c r="F131" s="34" t="s">
        <v>42</v>
      </c>
      <c r="G131" s="83">
        <f t="shared" ref="G131:H133" si="11">G132</f>
        <v>19084.5</v>
      </c>
      <c r="H131" s="185">
        <f t="shared" si="11"/>
        <v>19084.5</v>
      </c>
    </row>
    <row r="132" spans="1:11" ht="43.5">
      <c r="A132" s="138" t="s">
        <v>138</v>
      </c>
      <c r="B132" s="54" t="s">
        <v>125</v>
      </c>
      <c r="C132" s="34" t="s">
        <v>109</v>
      </c>
      <c r="D132" s="34" t="s">
        <v>44</v>
      </c>
      <c r="E132" s="31" t="s">
        <v>139</v>
      </c>
      <c r="F132" s="34" t="s">
        <v>42</v>
      </c>
      <c r="G132" s="83">
        <f t="shared" si="11"/>
        <v>19084.5</v>
      </c>
      <c r="H132" s="185">
        <f t="shared" si="11"/>
        <v>19084.5</v>
      </c>
    </row>
    <row r="133" spans="1:11" ht="43.5">
      <c r="A133" s="138" t="s">
        <v>140</v>
      </c>
      <c r="B133" s="54" t="s">
        <v>125</v>
      </c>
      <c r="C133" s="34" t="s">
        <v>109</v>
      </c>
      <c r="D133" s="34" t="s">
        <v>44</v>
      </c>
      <c r="E133" s="31" t="s">
        <v>141</v>
      </c>
      <c r="F133" s="31" t="s">
        <v>42</v>
      </c>
      <c r="G133" s="83">
        <f t="shared" si="11"/>
        <v>19084.5</v>
      </c>
      <c r="H133" s="185">
        <f t="shared" si="11"/>
        <v>19084.5</v>
      </c>
    </row>
    <row r="134" spans="1:11">
      <c r="A134" s="138" t="s">
        <v>134</v>
      </c>
      <c r="B134" s="54" t="s">
        <v>125</v>
      </c>
      <c r="C134" s="34" t="s">
        <v>109</v>
      </c>
      <c r="D134" s="34" t="s">
        <v>44</v>
      </c>
      <c r="E134" s="31" t="s">
        <v>141</v>
      </c>
      <c r="F134" s="31" t="s">
        <v>135</v>
      </c>
      <c r="G134" s="83">
        <v>19084.5</v>
      </c>
      <c r="H134" s="185">
        <v>19084.5</v>
      </c>
    </row>
    <row r="135" spans="1:11">
      <c r="A135" s="141" t="s">
        <v>142</v>
      </c>
      <c r="B135" s="80" t="s">
        <v>125</v>
      </c>
      <c r="C135" s="45" t="s">
        <v>109</v>
      </c>
      <c r="D135" s="45" t="s">
        <v>47</v>
      </c>
      <c r="E135" s="45" t="s">
        <v>45</v>
      </c>
      <c r="F135" s="45" t="s">
        <v>42</v>
      </c>
      <c r="G135" s="166">
        <f>G136+G141+G146+G150</f>
        <v>266594.40000000002</v>
      </c>
      <c r="H135" s="184">
        <f>H136+H141+H146+H150</f>
        <v>268487.09999999998</v>
      </c>
    </row>
    <row r="136" spans="1:11">
      <c r="A136" s="141" t="s">
        <v>143</v>
      </c>
      <c r="B136" s="80" t="s">
        <v>125</v>
      </c>
      <c r="C136" s="45" t="s">
        <v>109</v>
      </c>
      <c r="D136" s="45" t="s">
        <v>47</v>
      </c>
      <c r="E136" s="45" t="s">
        <v>144</v>
      </c>
      <c r="F136" s="45" t="s">
        <v>42</v>
      </c>
      <c r="G136" s="166">
        <f>G137+G139</f>
        <v>121498.3</v>
      </c>
      <c r="H136" s="184">
        <f>H137+H139</f>
        <v>124472</v>
      </c>
    </row>
    <row r="137" spans="1:11">
      <c r="A137" s="144" t="s">
        <v>79</v>
      </c>
      <c r="B137" s="54" t="s">
        <v>125</v>
      </c>
      <c r="C137" s="34" t="s">
        <v>109</v>
      </c>
      <c r="D137" s="34" t="s">
        <v>47</v>
      </c>
      <c r="E137" s="34" t="s">
        <v>145</v>
      </c>
      <c r="F137" s="34" t="s">
        <v>42</v>
      </c>
      <c r="G137" s="83">
        <f>G138</f>
        <v>31303.100000000002</v>
      </c>
      <c r="H137" s="185">
        <f>H138</f>
        <v>18642.2</v>
      </c>
    </row>
    <row r="138" spans="1:11">
      <c r="A138" s="138" t="s">
        <v>134</v>
      </c>
      <c r="B138" s="54" t="s">
        <v>125</v>
      </c>
      <c r="C138" s="34" t="s">
        <v>109</v>
      </c>
      <c r="D138" s="34" t="s">
        <v>47</v>
      </c>
      <c r="E138" s="34" t="s">
        <v>145</v>
      </c>
      <c r="F138" s="31" t="s">
        <v>135</v>
      </c>
      <c r="G138" s="83">
        <f>6204.8+30259-5427.4+266.7</f>
        <v>31303.100000000002</v>
      </c>
      <c r="H138" s="185">
        <f>32460-11529.8-2300+12</f>
        <v>18642.2</v>
      </c>
    </row>
    <row r="139" spans="1:11" ht="29.25">
      <c r="A139" s="138" t="s">
        <v>136</v>
      </c>
      <c r="B139" s="54" t="s">
        <v>125</v>
      </c>
      <c r="C139" s="34" t="s">
        <v>109</v>
      </c>
      <c r="D139" s="34" t="s">
        <v>47</v>
      </c>
      <c r="E139" s="31" t="s">
        <v>146</v>
      </c>
      <c r="F139" s="31" t="s">
        <v>42</v>
      </c>
      <c r="G139" s="83">
        <f>G140</f>
        <v>90195.199999999997</v>
      </c>
      <c r="H139" s="185">
        <f>H140</f>
        <v>105829.8</v>
      </c>
      <c r="K139" s="19">
        <f>H139+H144+H148+H187+H224+H230</f>
        <v>138053.79999999999</v>
      </c>
    </row>
    <row r="140" spans="1:11">
      <c r="A140" s="138" t="s">
        <v>134</v>
      </c>
      <c r="B140" s="54" t="s">
        <v>125</v>
      </c>
      <c r="C140" s="34" t="s">
        <v>109</v>
      </c>
      <c r="D140" s="34" t="s">
        <v>47</v>
      </c>
      <c r="E140" s="31" t="s">
        <v>146</v>
      </c>
      <c r="F140" s="31" t="s">
        <v>135</v>
      </c>
      <c r="G140" s="83">
        <f>96400-6204.8</f>
        <v>90195.199999999997</v>
      </c>
      <c r="H140" s="185">
        <f>11529.8+94300</f>
        <v>105829.8</v>
      </c>
    </row>
    <row r="141" spans="1:11">
      <c r="A141" s="139" t="s">
        <v>147</v>
      </c>
      <c r="B141" s="80" t="s">
        <v>125</v>
      </c>
      <c r="C141" s="45" t="s">
        <v>109</v>
      </c>
      <c r="D141" s="45" t="s">
        <v>47</v>
      </c>
      <c r="E141" s="45" t="s">
        <v>148</v>
      </c>
      <c r="F141" s="45" t="s">
        <v>42</v>
      </c>
      <c r="G141" s="166">
        <f>G142+G144</f>
        <v>17522</v>
      </c>
      <c r="H141" s="184">
        <f>H142+H144</f>
        <v>16330</v>
      </c>
    </row>
    <row r="142" spans="1:11">
      <c r="A142" s="137" t="s">
        <v>79</v>
      </c>
      <c r="B142" s="54" t="s">
        <v>125</v>
      </c>
      <c r="C142" s="34" t="s">
        <v>109</v>
      </c>
      <c r="D142" s="34" t="s">
        <v>47</v>
      </c>
      <c r="E142" s="34" t="s">
        <v>149</v>
      </c>
      <c r="F142" s="34" t="s">
        <v>42</v>
      </c>
      <c r="G142" s="83">
        <f>G143</f>
        <v>4386</v>
      </c>
      <c r="H142" s="185">
        <f>H143</f>
        <v>2590</v>
      </c>
    </row>
    <row r="143" spans="1:11">
      <c r="A143" s="138" t="s">
        <v>134</v>
      </c>
      <c r="B143" s="54" t="s">
        <v>125</v>
      </c>
      <c r="C143" s="34" t="s">
        <v>109</v>
      </c>
      <c r="D143" s="34" t="s">
        <v>47</v>
      </c>
      <c r="E143" s="34" t="s">
        <v>149</v>
      </c>
      <c r="F143" s="31" t="s">
        <v>135</v>
      </c>
      <c r="G143" s="83">
        <f>4386</f>
        <v>4386</v>
      </c>
      <c r="H143" s="185">
        <f>4590-2000</f>
        <v>2590</v>
      </c>
    </row>
    <row r="144" spans="1:11" ht="29.25">
      <c r="A144" s="138" t="s">
        <v>136</v>
      </c>
      <c r="B144" s="54" t="s">
        <v>125</v>
      </c>
      <c r="C144" s="34" t="s">
        <v>109</v>
      </c>
      <c r="D144" s="34" t="s">
        <v>47</v>
      </c>
      <c r="E144" s="31" t="s">
        <v>150</v>
      </c>
      <c r="F144" s="34" t="s">
        <v>42</v>
      </c>
      <c r="G144" s="83">
        <f>G145</f>
        <v>13136</v>
      </c>
      <c r="H144" s="185">
        <f>H145</f>
        <v>13740</v>
      </c>
    </row>
    <row r="145" spans="1:8">
      <c r="A145" s="138" t="s">
        <v>134</v>
      </c>
      <c r="B145" s="54" t="s">
        <v>125</v>
      </c>
      <c r="C145" s="34" t="s">
        <v>109</v>
      </c>
      <c r="D145" s="34" t="s">
        <v>47</v>
      </c>
      <c r="E145" s="31" t="s">
        <v>150</v>
      </c>
      <c r="F145" s="31" t="s">
        <v>135</v>
      </c>
      <c r="G145" s="83">
        <v>13136</v>
      </c>
      <c r="H145" s="185">
        <v>13740</v>
      </c>
    </row>
    <row r="146" spans="1:8">
      <c r="A146" s="141" t="s">
        <v>151</v>
      </c>
      <c r="B146" s="80" t="s">
        <v>125</v>
      </c>
      <c r="C146" s="45" t="s">
        <v>109</v>
      </c>
      <c r="D146" s="45" t="s">
        <v>47</v>
      </c>
      <c r="E146" s="45" t="s">
        <v>152</v>
      </c>
      <c r="F146" s="45" t="s">
        <v>42</v>
      </c>
      <c r="G146" s="166">
        <f t="shared" ref="G146:H148" si="12">G147</f>
        <v>2413</v>
      </c>
      <c r="H146" s="184">
        <f t="shared" si="12"/>
        <v>2524</v>
      </c>
    </row>
    <row r="147" spans="1:8">
      <c r="A147" s="144" t="s">
        <v>151</v>
      </c>
      <c r="B147" s="54" t="s">
        <v>125</v>
      </c>
      <c r="C147" s="34" t="s">
        <v>109</v>
      </c>
      <c r="D147" s="34" t="s">
        <v>47</v>
      </c>
      <c r="E147" s="34" t="s">
        <v>152</v>
      </c>
      <c r="F147" s="34" t="s">
        <v>42</v>
      </c>
      <c r="G147" s="83">
        <f t="shared" si="12"/>
        <v>2413</v>
      </c>
      <c r="H147" s="185">
        <f t="shared" si="12"/>
        <v>2524</v>
      </c>
    </row>
    <row r="148" spans="1:8" ht="29.25">
      <c r="A148" s="138" t="s">
        <v>136</v>
      </c>
      <c r="B148" s="54" t="s">
        <v>125</v>
      </c>
      <c r="C148" s="34" t="s">
        <v>109</v>
      </c>
      <c r="D148" s="34" t="s">
        <v>47</v>
      </c>
      <c r="E148" s="31" t="s">
        <v>154</v>
      </c>
      <c r="F148" s="31" t="s">
        <v>42</v>
      </c>
      <c r="G148" s="83">
        <f t="shared" si="12"/>
        <v>2413</v>
      </c>
      <c r="H148" s="185">
        <f t="shared" si="12"/>
        <v>2524</v>
      </c>
    </row>
    <row r="149" spans="1:8">
      <c r="A149" s="138" t="s">
        <v>134</v>
      </c>
      <c r="B149" s="54" t="s">
        <v>125</v>
      </c>
      <c r="C149" s="34" t="s">
        <v>109</v>
      </c>
      <c r="D149" s="34" t="s">
        <v>47</v>
      </c>
      <c r="E149" s="31" t="s">
        <v>154</v>
      </c>
      <c r="F149" s="31" t="s">
        <v>135</v>
      </c>
      <c r="G149" s="83">
        <v>2413</v>
      </c>
      <c r="H149" s="185">
        <v>2524</v>
      </c>
    </row>
    <row r="150" spans="1:8">
      <c r="A150" s="141" t="s">
        <v>81</v>
      </c>
      <c r="B150" s="80" t="s">
        <v>125</v>
      </c>
      <c r="C150" s="45" t="s">
        <v>109</v>
      </c>
      <c r="D150" s="45" t="s">
        <v>47</v>
      </c>
      <c r="E150" s="45" t="s">
        <v>82</v>
      </c>
      <c r="F150" s="45" t="s">
        <v>42</v>
      </c>
      <c r="G150" s="166">
        <f>G151</f>
        <v>125161.1</v>
      </c>
      <c r="H150" s="184">
        <f>H151</f>
        <v>125161.1</v>
      </c>
    </row>
    <row r="151" spans="1:8" ht="29.25">
      <c r="A151" s="137" t="s">
        <v>155</v>
      </c>
      <c r="B151" s="54" t="s">
        <v>125</v>
      </c>
      <c r="C151" s="34" t="s">
        <v>109</v>
      </c>
      <c r="D151" s="34" t="s">
        <v>47</v>
      </c>
      <c r="E151" s="34" t="s">
        <v>156</v>
      </c>
      <c r="F151" s="34" t="s">
        <v>42</v>
      </c>
      <c r="G151" s="83">
        <f>G152</f>
        <v>125161.1</v>
      </c>
      <c r="H151" s="185">
        <f>H152</f>
        <v>125161.1</v>
      </c>
    </row>
    <row r="152" spans="1:8">
      <c r="A152" s="138" t="s">
        <v>134</v>
      </c>
      <c r="B152" s="54" t="s">
        <v>125</v>
      </c>
      <c r="C152" s="34" t="s">
        <v>109</v>
      </c>
      <c r="D152" s="34" t="s">
        <v>47</v>
      </c>
      <c r="E152" s="34" t="s">
        <v>156</v>
      </c>
      <c r="F152" s="31" t="s">
        <v>135</v>
      </c>
      <c r="G152" s="83">
        <v>125161.1</v>
      </c>
      <c r="H152" s="185">
        <v>125161.1</v>
      </c>
    </row>
    <row r="153" spans="1:8">
      <c r="A153" s="141" t="s">
        <v>162</v>
      </c>
      <c r="B153" s="80" t="s">
        <v>125</v>
      </c>
      <c r="C153" s="45" t="s">
        <v>109</v>
      </c>
      <c r="D153" s="45" t="s">
        <v>107</v>
      </c>
      <c r="E153" s="45" t="s">
        <v>45</v>
      </c>
      <c r="F153" s="45" t="s">
        <v>42</v>
      </c>
      <c r="G153" s="166">
        <f>G154+G159+G162+G166</f>
        <v>10218.799999999999</v>
      </c>
      <c r="H153" s="184">
        <f>H154+H159+H162+H166</f>
        <v>10555.8</v>
      </c>
    </row>
    <row r="154" spans="1:8">
      <c r="A154" s="139" t="s">
        <v>163</v>
      </c>
      <c r="B154" s="80" t="s">
        <v>125</v>
      </c>
      <c r="C154" s="45" t="s">
        <v>109</v>
      </c>
      <c r="D154" s="45" t="s">
        <v>107</v>
      </c>
      <c r="E154" s="45" t="s">
        <v>164</v>
      </c>
      <c r="F154" s="45" t="s">
        <v>42</v>
      </c>
      <c r="G154" s="166">
        <f>G155</f>
        <v>631</v>
      </c>
      <c r="H154" s="184">
        <f>H155</f>
        <v>658</v>
      </c>
    </row>
    <row r="155" spans="1:8">
      <c r="A155" s="144" t="s">
        <v>79</v>
      </c>
      <c r="B155" s="54" t="s">
        <v>125</v>
      </c>
      <c r="C155" s="34" t="s">
        <v>109</v>
      </c>
      <c r="D155" s="34" t="s">
        <v>107</v>
      </c>
      <c r="E155" s="34" t="s">
        <v>165</v>
      </c>
      <c r="F155" s="34" t="s">
        <v>42</v>
      </c>
      <c r="G155" s="83">
        <f>G156+G157+G158</f>
        <v>631</v>
      </c>
      <c r="H155" s="185">
        <f>H156+H157+H158</f>
        <v>658</v>
      </c>
    </row>
    <row r="156" spans="1:8" ht="43.5">
      <c r="A156" s="138" t="s">
        <v>51</v>
      </c>
      <c r="B156" s="54" t="s">
        <v>125</v>
      </c>
      <c r="C156" s="34" t="s">
        <v>109</v>
      </c>
      <c r="D156" s="34" t="s">
        <v>107</v>
      </c>
      <c r="E156" s="34" t="s">
        <v>165</v>
      </c>
      <c r="F156" s="31" t="s">
        <v>52</v>
      </c>
      <c r="G156" s="83">
        <v>360</v>
      </c>
      <c r="H156" s="185">
        <v>380</v>
      </c>
    </row>
    <row r="157" spans="1:8">
      <c r="A157" s="138" t="s">
        <v>57</v>
      </c>
      <c r="B157" s="54" t="s">
        <v>125</v>
      </c>
      <c r="C157" s="34" t="s">
        <v>109</v>
      </c>
      <c r="D157" s="34" t="s">
        <v>107</v>
      </c>
      <c r="E157" s="34" t="s">
        <v>165</v>
      </c>
      <c r="F157" s="31" t="s">
        <v>58</v>
      </c>
      <c r="G157" s="83">
        <f>1693-1500</f>
        <v>193</v>
      </c>
      <c r="H157" s="185">
        <v>200</v>
      </c>
    </row>
    <row r="158" spans="1:8">
      <c r="A158" s="138" t="s">
        <v>59</v>
      </c>
      <c r="B158" s="54" t="s">
        <v>125</v>
      </c>
      <c r="C158" s="34" t="s">
        <v>109</v>
      </c>
      <c r="D158" s="34" t="s">
        <v>107</v>
      </c>
      <c r="E158" s="34" t="s">
        <v>165</v>
      </c>
      <c r="F158" s="31" t="s">
        <v>60</v>
      </c>
      <c r="G158" s="83">
        <v>78</v>
      </c>
      <c r="H158" s="185">
        <v>78</v>
      </c>
    </row>
    <row r="159" spans="1:8">
      <c r="A159" s="141" t="s">
        <v>166</v>
      </c>
      <c r="B159" s="80" t="s">
        <v>125</v>
      </c>
      <c r="C159" s="45" t="s">
        <v>109</v>
      </c>
      <c r="D159" s="45" t="s">
        <v>107</v>
      </c>
      <c r="E159" s="45" t="s">
        <v>167</v>
      </c>
      <c r="F159" s="45" t="s">
        <v>42</v>
      </c>
      <c r="G159" s="166">
        <f>G160</f>
        <v>1502</v>
      </c>
      <c r="H159" s="184">
        <f>H160</f>
        <v>1558</v>
      </c>
    </row>
    <row r="160" spans="1:8">
      <c r="A160" s="144" t="s">
        <v>168</v>
      </c>
      <c r="B160" s="54" t="s">
        <v>125</v>
      </c>
      <c r="C160" s="34" t="s">
        <v>109</v>
      </c>
      <c r="D160" s="34" t="s">
        <v>107</v>
      </c>
      <c r="E160" s="34" t="s">
        <v>169</v>
      </c>
      <c r="F160" s="34" t="s">
        <v>42</v>
      </c>
      <c r="G160" s="83">
        <f>G161</f>
        <v>1502</v>
      </c>
      <c r="H160" s="185">
        <f>H161</f>
        <v>1558</v>
      </c>
    </row>
    <row r="161" spans="1:8">
      <c r="A161" s="138" t="s">
        <v>57</v>
      </c>
      <c r="B161" s="54" t="s">
        <v>125</v>
      </c>
      <c r="C161" s="34" t="s">
        <v>109</v>
      </c>
      <c r="D161" s="34" t="s">
        <v>107</v>
      </c>
      <c r="E161" s="34" t="s">
        <v>169</v>
      </c>
      <c r="F161" s="31" t="s">
        <v>58</v>
      </c>
      <c r="G161" s="83">
        <f>1490+12</f>
        <v>1502</v>
      </c>
      <c r="H161" s="185">
        <v>1558</v>
      </c>
    </row>
    <row r="162" spans="1:8" ht="45">
      <c r="A162" s="139" t="s">
        <v>170</v>
      </c>
      <c r="B162" s="80" t="s">
        <v>125</v>
      </c>
      <c r="C162" s="45" t="s">
        <v>109</v>
      </c>
      <c r="D162" s="45" t="s">
        <v>107</v>
      </c>
      <c r="E162" s="45" t="s">
        <v>171</v>
      </c>
      <c r="F162" s="45" t="s">
        <v>42</v>
      </c>
      <c r="G162" s="166">
        <f>G163</f>
        <v>4270</v>
      </c>
      <c r="H162" s="184">
        <f>H163</f>
        <v>4341</v>
      </c>
    </row>
    <row r="163" spans="1:8">
      <c r="A163" s="137" t="s">
        <v>79</v>
      </c>
      <c r="B163" s="54" t="s">
        <v>125</v>
      </c>
      <c r="C163" s="34" t="s">
        <v>109</v>
      </c>
      <c r="D163" s="34" t="s">
        <v>107</v>
      </c>
      <c r="E163" s="34" t="s">
        <v>172</v>
      </c>
      <c r="F163" s="34" t="s">
        <v>42</v>
      </c>
      <c r="G163" s="83">
        <f>G164+G165</f>
        <v>4270</v>
      </c>
      <c r="H163" s="185">
        <f>H164+H165</f>
        <v>4341</v>
      </c>
    </row>
    <row r="164" spans="1:8" ht="43.5">
      <c r="A164" s="138" t="s">
        <v>51</v>
      </c>
      <c r="B164" s="54" t="s">
        <v>125</v>
      </c>
      <c r="C164" s="34" t="s">
        <v>109</v>
      </c>
      <c r="D164" s="34" t="s">
        <v>107</v>
      </c>
      <c r="E164" s="34" t="s">
        <v>172</v>
      </c>
      <c r="F164" s="31" t="s">
        <v>52</v>
      </c>
      <c r="G164" s="83">
        <f>3713-78</f>
        <v>3635</v>
      </c>
      <c r="H164" s="185">
        <f>3884-78</f>
        <v>3806</v>
      </c>
    </row>
    <row r="165" spans="1:8">
      <c r="A165" s="138" t="s">
        <v>57</v>
      </c>
      <c r="B165" s="54" t="s">
        <v>125</v>
      </c>
      <c r="C165" s="34" t="s">
        <v>109</v>
      </c>
      <c r="D165" s="34" t="s">
        <v>107</v>
      </c>
      <c r="E165" s="34" t="s">
        <v>172</v>
      </c>
      <c r="F165" s="31" t="s">
        <v>58</v>
      </c>
      <c r="G165" s="83">
        <v>635</v>
      </c>
      <c r="H165" s="185">
        <v>535</v>
      </c>
    </row>
    <row r="166" spans="1:8">
      <c r="A166" s="141" t="s">
        <v>81</v>
      </c>
      <c r="B166" s="80" t="s">
        <v>125</v>
      </c>
      <c r="C166" s="45" t="s">
        <v>109</v>
      </c>
      <c r="D166" s="45" t="s">
        <v>107</v>
      </c>
      <c r="E166" s="45" t="s">
        <v>82</v>
      </c>
      <c r="F166" s="45" t="s">
        <v>42</v>
      </c>
      <c r="G166" s="166">
        <f>G167</f>
        <v>3815.8</v>
      </c>
      <c r="H166" s="184">
        <f>H167</f>
        <v>3998.8</v>
      </c>
    </row>
    <row r="167" spans="1:8" ht="28.5">
      <c r="A167" s="144" t="s">
        <v>173</v>
      </c>
      <c r="B167" s="54" t="s">
        <v>125</v>
      </c>
      <c r="C167" s="31" t="s">
        <v>109</v>
      </c>
      <c r="D167" s="31" t="s">
        <v>107</v>
      </c>
      <c r="E167" s="31" t="s">
        <v>174</v>
      </c>
      <c r="F167" s="45" t="s">
        <v>42</v>
      </c>
      <c r="G167" s="83">
        <f>G168</f>
        <v>3815.8</v>
      </c>
      <c r="H167" s="185">
        <f>H168</f>
        <v>3998.8</v>
      </c>
    </row>
    <row r="168" spans="1:8">
      <c r="A168" s="137" t="s">
        <v>134</v>
      </c>
      <c r="B168" s="54" t="s">
        <v>125</v>
      </c>
      <c r="C168" s="31" t="s">
        <v>109</v>
      </c>
      <c r="D168" s="31" t="s">
        <v>107</v>
      </c>
      <c r="E168" s="31" t="s">
        <v>174</v>
      </c>
      <c r="F168" s="45" t="s">
        <v>135</v>
      </c>
      <c r="G168" s="83">
        <f>Лист4!F157</f>
        <v>3815.8</v>
      </c>
      <c r="H168" s="185">
        <f>Лист4!G157</f>
        <v>3998.8</v>
      </c>
    </row>
    <row r="169" spans="1:8">
      <c r="A169" s="151" t="s">
        <v>175</v>
      </c>
      <c r="B169" s="77" t="s">
        <v>125</v>
      </c>
      <c r="C169" s="48" t="s">
        <v>176</v>
      </c>
      <c r="D169" s="48" t="s">
        <v>40</v>
      </c>
      <c r="E169" s="48" t="s">
        <v>45</v>
      </c>
      <c r="F169" s="48" t="s">
        <v>42</v>
      </c>
      <c r="G169" s="173">
        <f>G171+G173</f>
        <v>6723.7</v>
      </c>
      <c r="H169" s="187">
        <f>H171+H173</f>
        <v>7019.7</v>
      </c>
    </row>
    <row r="170" spans="1:8">
      <c r="A170" s="154" t="s">
        <v>177</v>
      </c>
      <c r="B170" s="54" t="s">
        <v>125</v>
      </c>
      <c r="C170" s="42" t="s">
        <v>176</v>
      </c>
      <c r="D170" s="42" t="s">
        <v>54</v>
      </c>
      <c r="E170" s="42" t="s">
        <v>45</v>
      </c>
      <c r="F170" s="42" t="s">
        <v>42</v>
      </c>
      <c r="G170" s="176">
        <f>G171</f>
        <v>2994</v>
      </c>
      <c r="H170" s="190">
        <f>H171</f>
        <v>2917</v>
      </c>
    </row>
    <row r="171" spans="1:8">
      <c r="A171" s="133" t="s">
        <v>178</v>
      </c>
      <c r="B171" s="53" t="s">
        <v>125</v>
      </c>
      <c r="C171" s="36" t="s">
        <v>176</v>
      </c>
      <c r="D171" s="36" t="s">
        <v>54</v>
      </c>
      <c r="E171" s="31" t="s">
        <v>179</v>
      </c>
      <c r="F171" s="34" t="s">
        <v>42</v>
      </c>
      <c r="G171" s="84">
        <f>G172</f>
        <v>2994</v>
      </c>
      <c r="H171" s="182">
        <f>H172</f>
        <v>2917</v>
      </c>
    </row>
    <row r="172" spans="1:8">
      <c r="A172" s="137" t="s">
        <v>134</v>
      </c>
      <c r="B172" s="53" t="s">
        <v>125</v>
      </c>
      <c r="C172" s="36" t="s">
        <v>176</v>
      </c>
      <c r="D172" s="36" t="s">
        <v>54</v>
      </c>
      <c r="E172" s="31" t="s">
        <v>179</v>
      </c>
      <c r="F172" s="31" t="s">
        <v>135</v>
      </c>
      <c r="G172" s="84">
        <f>6723.7-3729.7</f>
        <v>2994</v>
      </c>
      <c r="H172" s="182">
        <f>7019.7-H173</f>
        <v>2917</v>
      </c>
    </row>
    <row r="173" spans="1:8">
      <c r="A173" s="133" t="s">
        <v>244</v>
      </c>
      <c r="B173" s="53" t="s">
        <v>125</v>
      </c>
      <c r="C173" s="32" t="s">
        <v>176</v>
      </c>
      <c r="D173" s="32" t="s">
        <v>68</v>
      </c>
      <c r="E173" s="31" t="s">
        <v>41</v>
      </c>
      <c r="F173" s="31" t="s">
        <v>42</v>
      </c>
      <c r="G173" s="51">
        <f>G174</f>
        <v>3729.7</v>
      </c>
      <c r="H173" s="191">
        <f>H174</f>
        <v>4102.7</v>
      </c>
    </row>
    <row r="174" spans="1:8" ht="42.75">
      <c r="A174" s="133" t="s">
        <v>245</v>
      </c>
      <c r="B174" s="53" t="s">
        <v>125</v>
      </c>
      <c r="C174" s="32" t="s">
        <v>176</v>
      </c>
      <c r="D174" s="32" t="s">
        <v>68</v>
      </c>
      <c r="E174" s="31" t="s">
        <v>246</v>
      </c>
      <c r="F174" s="31" t="s">
        <v>42</v>
      </c>
      <c r="G174" s="51">
        <f>G175</f>
        <v>3729.7</v>
      </c>
      <c r="H174" s="191">
        <f>H175</f>
        <v>4102.7</v>
      </c>
    </row>
    <row r="175" spans="1:8">
      <c r="A175" s="133" t="s">
        <v>247</v>
      </c>
      <c r="B175" s="53" t="s">
        <v>125</v>
      </c>
      <c r="C175" s="32" t="s">
        <v>176</v>
      </c>
      <c r="D175" s="32" t="s">
        <v>68</v>
      </c>
      <c r="E175" s="31" t="s">
        <v>246</v>
      </c>
      <c r="F175" s="31" t="s">
        <v>248</v>
      </c>
      <c r="G175" s="51">
        <v>3729.7</v>
      </c>
      <c r="H175" s="182">
        <v>4102.7</v>
      </c>
    </row>
    <row r="176" spans="1:8" ht="30">
      <c r="A176" s="143" t="s">
        <v>180</v>
      </c>
      <c r="B176" s="74" t="s">
        <v>181</v>
      </c>
      <c r="C176" s="81" t="s">
        <v>40</v>
      </c>
      <c r="D176" s="81" t="s">
        <v>40</v>
      </c>
      <c r="E176" s="81" t="s">
        <v>45</v>
      </c>
      <c r="F176" s="81" t="s">
        <v>42</v>
      </c>
      <c r="G176" s="174">
        <f>G177+G189+G183</f>
        <v>38802</v>
      </c>
      <c r="H176" s="188">
        <f>H177+H189+H183</f>
        <v>39360</v>
      </c>
    </row>
    <row r="177" spans="1:10">
      <c r="A177" s="139" t="s">
        <v>43</v>
      </c>
      <c r="B177" s="69" t="s">
        <v>181</v>
      </c>
      <c r="C177" s="43" t="s">
        <v>44</v>
      </c>
      <c r="D177" s="43" t="s">
        <v>40</v>
      </c>
      <c r="E177" s="43" t="s">
        <v>45</v>
      </c>
      <c r="F177" s="45" t="s">
        <v>42</v>
      </c>
      <c r="G177" s="166">
        <f t="shared" ref="G177:H179" si="13">G178</f>
        <v>449</v>
      </c>
      <c r="H177" s="184">
        <f t="shared" si="13"/>
        <v>455</v>
      </c>
    </row>
    <row r="178" spans="1:10" ht="45">
      <c r="A178" s="139" t="s">
        <v>67</v>
      </c>
      <c r="B178" s="69" t="s">
        <v>181</v>
      </c>
      <c r="C178" s="44" t="s">
        <v>44</v>
      </c>
      <c r="D178" s="44" t="s">
        <v>68</v>
      </c>
      <c r="E178" s="43" t="s">
        <v>45</v>
      </c>
      <c r="F178" s="45" t="s">
        <v>42</v>
      </c>
      <c r="G178" s="166">
        <f t="shared" si="13"/>
        <v>449</v>
      </c>
      <c r="H178" s="184">
        <f t="shared" si="13"/>
        <v>455</v>
      </c>
    </row>
    <row r="179" spans="1:10" ht="29.25">
      <c r="A179" s="137" t="s">
        <v>48</v>
      </c>
      <c r="B179" s="75" t="s">
        <v>181</v>
      </c>
      <c r="C179" s="33" t="s">
        <v>44</v>
      </c>
      <c r="D179" s="33" t="s">
        <v>68</v>
      </c>
      <c r="E179" s="34" t="s">
        <v>49</v>
      </c>
      <c r="F179" s="34" t="s">
        <v>42</v>
      </c>
      <c r="G179" s="83">
        <f t="shared" si="13"/>
        <v>449</v>
      </c>
      <c r="H179" s="185">
        <f t="shared" si="13"/>
        <v>455</v>
      </c>
    </row>
    <row r="180" spans="1:10">
      <c r="A180" s="144" t="s">
        <v>69</v>
      </c>
      <c r="B180" s="75" t="s">
        <v>181</v>
      </c>
      <c r="C180" s="33" t="s">
        <v>44</v>
      </c>
      <c r="D180" s="33" t="s">
        <v>68</v>
      </c>
      <c r="E180" s="34" t="s">
        <v>56</v>
      </c>
      <c r="F180" s="34" t="s">
        <v>42</v>
      </c>
      <c r="G180" s="83">
        <f>G181+G182</f>
        <v>449</v>
      </c>
      <c r="H180" s="185">
        <f>H181+H182</f>
        <v>455</v>
      </c>
    </row>
    <row r="181" spans="1:10" ht="43.5">
      <c r="A181" s="138" t="s">
        <v>51</v>
      </c>
      <c r="B181" s="75" t="s">
        <v>181</v>
      </c>
      <c r="C181" s="33" t="s">
        <v>44</v>
      </c>
      <c r="D181" s="33" t="s">
        <v>68</v>
      </c>
      <c r="E181" s="34" t="s">
        <v>56</v>
      </c>
      <c r="F181" s="31" t="s">
        <v>52</v>
      </c>
      <c r="G181" s="83">
        <v>417</v>
      </c>
      <c r="H181" s="185">
        <v>422</v>
      </c>
    </row>
    <row r="182" spans="1:10">
      <c r="A182" s="138" t="s">
        <v>57</v>
      </c>
      <c r="B182" s="75" t="s">
        <v>181</v>
      </c>
      <c r="C182" s="33" t="s">
        <v>44</v>
      </c>
      <c r="D182" s="33" t="s">
        <v>68</v>
      </c>
      <c r="E182" s="34" t="s">
        <v>56</v>
      </c>
      <c r="F182" s="31" t="s">
        <v>58</v>
      </c>
      <c r="G182" s="83">
        <v>32</v>
      </c>
      <c r="H182" s="185">
        <v>33</v>
      </c>
    </row>
    <row r="183" spans="1:10">
      <c r="A183" s="151" t="s">
        <v>128</v>
      </c>
      <c r="B183" s="77" t="s">
        <v>181</v>
      </c>
      <c r="C183" s="47" t="s">
        <v>109</v>
      </c>
      <c r="D183" s="47" t="s">
        <v>40</v>
      </c>
      <c r="E183" s="48" t="s">
        <v>45</v>
      </c>
      <c r="F183" s="48" t="s">
        <v>42</v>
      </c>
      <c r="G183" s="173">
        <f t="shared" ref="G183:H187" si="14">G184</f>
        <v>9887</v>
      </c>
      <c r="H183" s="187">
        <f t="shared" si="14"/>
        <v>10342</v>
      </c>
    </row>
    <row r="184" spans="1:10">
      <c r="A184" s="141" t="s">
        <v>151</v>
      </c>
      <c r="B184" s="80" t="s">
        <v>181</v>
      </c>
      <c r="C184" s="45" t="s">
        <v>109</v>
      </c>
      <c r="D184" s="45" t="s">
        <v>47</v>
      </c>
      <c r="E184" s="45" t="s">
        <v>152</v>
      </c>
      <c r="F184" s="45" t="s">
        <v>42</v>
      </c>
      <c r="G184" s="166">
        <f t="shared" si="14"/>
        <v>9887</v>
      </c>
      <c r="H184" s="184">
        <f t="shared" si="14"/>
        <v>10342</v>
      </c>
      <c r="J184" s="19"/>
    </row>
    <row r="185" spans="1:10">
      <c r="A185" s="144" t="s">
        <v>151</v>
      </c>
      <c r="B185" s="54" t="s">
        <v>181</v>
      </c>
      <c r="C185" s="34" t="s">
        <v>109</v>
      </c>
      <c r="D185" s="34" t="s">
        <v>47</v>
      </c>
      <c r="E185" s="34" t="s">
        <v>152</v>
      </c>
      <c r="F185" s="34" t="s">
        <v>42</v>
      </c>
      <c r="G185" s="83">
        <f t="shared" si="14"/>
        <v>9887</v>
      </c>
      <c r="H185" s="185">
        <f t="shared" si="14"/>
        <v>10342</v>
      </c>
    </row>
    <row r="186" spans="1:10">
      <c r="A186" s="144" t="s">
        <v>79</v>
      </c>
      <c r="B186" s="54" t="s">
        <v>181</v>
      </c>
      <c r="C186" s="34" t="s">
        <v>109</v>
      </c>
      <c r="D186" s="34" t="s">
        <v>47</v>
      </c>
      <c r="E186" s="34" t="s">
        <v>153</v>
      </c>
      <c r="F186" s="34" t="s">
        <v>42</v>
      </c>
      <c r="G186" s="83">
        <f t="shared" si="14"/>
        <v>9887</v>
      </c>
      <c r="H186" s="185">
        <f t="shared" si="14"/>
        <v>10342</v>
      </c>
    </row>
    <row r="187" spans="1:10" ht="29.25">
      <c r="A187" s="138" t="s">
        <v>136</v>
      </c>
      <c r="B187" s="54" t="s">
        <v>181</v>
      </c>
      <c r="C187" s="34" t="s">
        <v>109</v>
      </c>
      <c r="D187" s="34" t="s">
        <v>47</v>
      </c>
      <c r="E187" s="31" t="s">
        <v>154</v>
      </c>
      <c r="F187" s="31" t="s">
        <v>42</v>
      </c>
      <c r="G187" s="83">
        <f t="shared" si="14"/>
        <v>9887</v>
      </c>
      <c r="H187" s="185">
        <f t="shared" si="14"/>
        <v>10342</v>
      </c>
    </row>
    <row r="188" spans="1:10">
      <c r="A188" s="138" t="s">
        <v>134</v>
      </c>
      <c r="B188" s="54" t="s">
        <v>181</v>
      </c>
      <c r="C188" s="34" t="s">
        <v>109</v>
      </c>
      <c r="D188" s="34" t="s">
        <v>47</v>
      </c>
      <c r="E188" s="31" t="s">
        <v>154</v>
      </c>
      <c r="F188" s="31" t="s">
        <v>135</v>
      </c>
      <c r="G188" s="83">
        <v>9887</v>
      </c>
      <c r="H188" s="185">
        <v>10342</v>
      </c>
    </row>
    <row r="189" spans="1:10">
      <c r="A189" s="151" t="s">
        <v>182</v>
      </c>
      <c r="B189" s="77" t="s">
        <v>181</v>
      </c>
      <c r="C189" s="50" t="s">
        <v>183</v>
      </c>
      <c r="D189" s="50" t="s">
        <v>184</v>
      </c>
      <c r="E189" s="50" t="s">
        <v>45</v>
      </c>
      <c r="F189" s="50" t="s">
        <v>42</v>
      </c>
      <c r="G189" s="173">
        <f>G190+G200</f>
        <v>28466</v>
      </c>
      <c r="H189" s="187">
        <f>H190+H200</f>
        <v>28563</v>
      </c>
    </row>
    <row r="190" spans="1:10">
      <c r="A190" s="141" t="s">
        <v>185</v>
      </c>
      <c r="B190" s="69" t="s">
        <v>181</v>
      </c>
      <c r="C190" s="45" t="s">
        <v>183</v>
      </c>
      <c r="D190" s="45" t="s">
        <v>44</v>
      </c>
      <c r="E190" s="45" t="s">
        <v>45</v>
      </c>
      <c r="F190" s="45" t="s">
        <v>42</v>
      </c>
      <c r="G190" s="166">
        <f>G191</f>
        <v>27997</v>
      </c>
      <c r="H190" s="184">
        <f>H191</f>
        <v>28088</v>
      </c>
    </row>
    <row r="191" spans="1:10">
      <c r="A191" s="141" t="s">
        <v>186</v>
      </c>
      <c r="B191" s="69" t="s">
        <v>181</v>
      </c>
      <c r="C191" s="45" t="s">
        <v>183</v>
      </c>
      <c r="D191" s="45" t="s">
        <v>44</v>
      </c>
      <c r="E191" s="45" t="s">
        <v>78</v>
      </c>
      <c r="F191" s="45" t="s">
        <v>42</v>
      </c>
      <c r="G191" s="166">
        <f>G192+G194+G197</f>
        <v>27997</v>
      </c>
      <c r="H191" s="184">
        <f>H192+H194+H197</f>
        <v>28088</v>
      </c>
    </row>
    <row r="192" spans="1:10">
      <c r="A192" s="141" t="s">
        <v>79</v>
      </c>
      <c r="B192" s="69" t="s">
        <v>181</v>
      </c>
      <c r="C192" s="45" t="s">
        <v>183</v>
      </c>
      <c r="D192" s="45" t="s">
        <v>44</v>
      </c>
      <c r="E192" s="45" t="s">
        <v>80</v>
      </c>
      <c r="F192" s="45" t="s">
        <v>42</v>
      </c>
      <c r="G192" s="166">
        <f>G193</f>
        <v>13309</v>
      </c>
      <c r="H192" s="184">
        <f>H193</f>
        <v>13400</v>
      </c>
    </row>
    <row r="193" spans="1:8">
      <c r="A193" s="137" t="s">
        <v>134</v>
      </c>
      <c r="B193" s="75" t="s">
        <v>181</v>
      </c>
      <c r="C193" s="34" t="s">
        <v>183</v>
      </c>
      <c r="D193" s="34" t="s">
        <v>44</v>
      </c>
      <c r="E193" s="34" t="s">
        <v>80</v>
      </c>
      <c r="F193" s="31" t="s">
        <v>135</v>
      </c>
      <c r="G193" s="83">
        <v>13309</v>
      </c>
      <c r="H193" s="185">
        <v>13400</v>
      </c>
    </row>
    <row r="194" spans="1:8">
      <c r="A194" s="141" t="s">
        <v>187</v>
      </c>
      <c r="B194" s="69" t="s">
        <v>181</v>
      </c>
      <c r="C194" s="45" t="s">
        <v>183</v>
      </c>
      <c r="D194" s="45" t="s">
        <v>44</v>
      </c>
      <c r="E194" s="45" t="s">
        <v>188</v>
      </c>
      <c r="F194" s="45" t="s">
        <v>42</v>
      </c>
      <c r="G194" s="166">
        <f>G195</f>
        <v>3688</v>
      </c>
      <c r="H194" s="184">
        <f>H195</f>
        <v>3688</v>
      </c>
    </row>
    <row r="195" spans="1:8">
      <c r="A195" s="144" t="s">
        <v>79</v>
      </c>
      <c r="B195" s="53" t="s">
        <v>181</v>
      </c>
      <c r="C195" s="34" t="s">
        <v>183</v>
      </c>
      <c r="D195" s="34" t="s">
        <v>44</v>
      </c>
      <c r="E195" s="34" t="s">
        <v>189</v>
      </c>
      <c r="F195" s="34" t="s">
        <v>42</v>
      </c>
      <c r="G195" s="83">
        <f>G196</f>
        <v>3688</v>
      </c>
      <c r="H195" s="185">
        <f>H196</f>
        <v>3688</v>
      </c>
    </row>
    <row r="196" spans="1:8">
      <c r="A196" s="133" t="s">
        <v>134</v>
      </c>
      <c r="B196" s="53" t="s">
        <v>181</v>
      </c>
      <c r="C196" s="34" t="s">
        <v>183</v>
      </c>
      <c r="D196" s="34" t="s">
        <v>44</v>
      </c>
      <c r="E196" s="34" t="s">
        <v>189</v>
      </c>
      <c r="F196" s="31" t="s">
        <v>135</v>
      </c>
      <c r="G196" s="83">
        <v>3688</v>
      </c>
      <c r="H196" s="185">
        <v>3688</v>
      </c>
    </row>
    <row r="197" spans="1:8">
      <c r="A197" s="141" t="s">
        <v>190</v>
      </c>
      <c r="B197" s="69" t="s">
        <v>181</v>
      </c>
      <c r="C197" s="45" t="s">
        <v>183</v>
      </c>
      <c r="D197" s="45" t="s">
        <v>44</v>
      </c>
      <c r="E197" s="45" t="s">
        <v>191</v>
      </c>
      <c r="F197" s="45" t="s">
        <v>42</v>
      </c>
      <c r="G197" s="166">
        <f>G198</f>
        <v>11000</v>
      </c>
      <c r="H197" s="184">
        <f>H198</f>
        <v>11000</v>
      </c>
    </row>
    <row r="198" spans="1:8">
      <c r="A198" s="144" t="s">
        <v>79</v>
      </c>
      <c r="B198" s="53" t="s">
        <v>181</v>
      </c>
      <c r="C198" s="34" t="s">
        <v>183</v>
      </c>
      <c r="D198" s="34" t="s">
        <v>44</v>
      </c>
      <c r="E198" s="34" t="s">
        <v>192</v>
      </c>
      <c r="F198" s="34" t="s">
        <v>42</v>
      </c>
      <c r="G198" s="83">
        <f>G199</f>
        <v>11000</v>
      </c>
      <c r="H198" s="185">
        <f>H199</f>
        <v>11000</v>
      </c>
    </row>
    <row r="199" spans="1:8">
      <c r="A199" s="137" t="s">
        <v>134</v>
      </c>
      <c r="B199" s="75" t="s">
        <v>181</v>
      </c>
      <c r="C199" s="34" t="s">
        <v>183</v>
      </c>
      <c r="D199" s="34" t="s">
        <v>44</v>
      </c>
      <c r="E199" s="34" t="s">
        <v>192</v>
      </c>
      <c r="F199" s="31" t="s">
        <v>135</v>
      </c>
      <c r="G199" s="83">
        <f>11000</f>
        <v>11000</v>
      </c>
      <c r="H199" s="185">
        <v>11000</v>
      </c>
    </row>
    <row r="200" spans="1:8">
      <c r="A200" s="141" t="s">
        <v>193</v>
      </c>
      <c r="B200" s="69" t="s">
        <v>181</v>
      </c>
      <c r="C200" s="45" t="s">
        <v>183</v>
      </c>
      <c r="D200" s="45" t="s">
        <v>68</v>
      </c>
      <c r="E200" s="45" t="s">
        <v>45</v>
      </c>
      <c r="F200" s="45" t="s">
        <v>42</v>
      </c>
      <c r="G200" s="166">
        <f>G201</f>
        <v>469</v>
      </c>
      <c r="H200" s="184">
        <f>H201</f>
        <v>475</v>
      </c>
    </row>
    <row r="201" spans="1:8" ht="43.5">
      <c r="A201" s="137" t="s">
        <v>170</v>
      </c>
      <c r="B201" s="75" t="s">
        <v>181</v>
      </c>
      <c r="C201" s="34" t="s">
        <v>183</v>
      </c>
      <c r="D201" s="34" t="s">
        <v>68</v>
      </c>
      <c r="E201" s="34" t="s">
        <v>171</v>
      </c>
      <c r="F201" s="34" t="s">
        <v>42</v>
      </c>
      <c r="G201" s="83">
        <f>G202</f>
        <v>469</v>
      </c>
      <c r="H201" s="185">
        <f>H202</f>
        <v>475</v>
      </c>
    </row>
    <row r="202" spans="1:8">
      <c r="A202" s="137" t="s">
        <v>79</v>
      </c>
      <c r="B202" s="75" t="s">
        <v>181</v>
      </c>
      <c r="C202" s="34" t="s">
        <v>183</v>
      </c>
      <c r="D202" s="34" t="s">
        <v>68</v>
      </c>
      <c r="E202" s="34" t="s">
        <v>172</v>
      </c>
      <c r="F202" s="34" t="s">
        <v>42</v>
      </c>
      <c r="G202" s="83">
        <f>+G203+G204</f>
        <v>469</v>
      </c>
      <c r="H202" s="185">
        <f>+H203+H204</f>
        <v>475</v>
      </c>
    </row>
    <row r="203" spans="1:8" ht="43.5">
      <c r="A203" s="138" t="s">
        <v>51</v>
      </c>
      <c r="B203" s="76" t="s">
        <v>181</v>
      </c>
      <c r="C203" s="34" t="s">
        <v>183</v>
      </c>
      <c r="D203" s="34" t="s">
        <v>194</v>
      </c>
      <c r="E203" s="34" t="s">
        <v>172</v>
      </c>
      <c r="F203" s="31" t="s">
        <v>52</v>
      </c>
      <c r="G203" s="83">
        <v>355</v>
      </c>
      <c r="H203" s="185">
        <v>360</v>
      </c>
    </row>
    <row r="204" spans="1:8">
      <c r="A204" s="138" t="s">
        <v>57</v>
      </c>
      <c r="B204" s="76" t="s">
        <v>181</v>
      </c>
      <c r="C204" s="34" t="s">
        <v>183</v>
      </c>
      <c r="D204" s="34" t="s">
        <v>194</v>
      </c>
      <c r="E204" s="34" t="s">
        <v>172</v>
      </c>
      <c r="F204" s="31" t="s">
        <v>58</v>
      </c>
      <c r="G204" s="83">
        <v>114</v>
      </c>
      <c r="H204" s="185">
        <v>115</v>
      </c>
    </row>
    <row r="205" spans="1:8" ht="30">
      <c r="A205" s="149" t="s">
        <v>195</v>
      </c>
      <c r="B205" s="74" t="s">
        <v>196</v>
      </c>
      <c r="C205" s="67" t="s">
        <v>40</v>
      </c>
      <c r="D205" s="67" t="s">
        <v>40</v>
      </c>
      <c r="E205" s="67" t="s">
        <v>45</v>
      </c>
      <c r="F205" s="67" t="s">
        <v>42</v>
      </c>
      <c r="G205" s="167">
        <f>G206+G222+G226+G232</f>
        <v>10742.3</v>
      </c>
      <c r="H205" s="183">
        <f>H206+H222+H226+H232</f>
        <v>10942.2</v>
      </c>
    </row>
    <row r="206" spans="1:8">
      <c r="A206" s="139" t="s">
        <v>43</v>
      </c>
      <c r="B206" s="82" t="s">
        <v>196</v>
      </c>
      <c r="C206" s="43" t="s">
        <v>44</v>
      </c>
      <c r="D206" s="43" t="s">
        <v>40</v>
      </c>
      <c r="E206" s="43" t="s">
        <v>45</v>
      </c>
      <c r="F206" s="45" t="s">
        <v>42</v>
      </c>
      <c r="G206" s="166">
        <f>G207+G214</f>
        <v>739.30000000000007</v>
      </c>
      <c r="H206" s="184">
        <f>H207+H215</f>
        <v>759.2</v>
      </c>
    </row>
    <row r="207" spans="1:8" ht="45">
      <c r="A207" s="139" t="s">
        <v>67</v>
      </c>
      <c r="B207" s="82" t="s">
        <v>196</v>
      </c>
      <c r="C207" s="44" t="s">
        <v>44</v>
      </c>
      <c r="D207" s="44" t="s">
        <v>68</v>
      </c>
      <c r="E207" s="43" t="s">
        <v>45</v>
      </c>
      <c r="F207" s="45" t="s">
        <v>42</v>
      </c>
      <c r="G207" s="166">
        <f>G208+G212</f>
        <v>524.70000000000005</v>
      </c>
      <c r="H207" s="184">
        <f>H208+H212</f>
        <v>542.6</v>
      </c>
    </row>
    <row r="208" spans="1:8" ht="29.25">
      <c r="A208" s="137" t="s">
        <v>48</v>
      </c>
      <c r="B208" s="76" t="s">
        <v>196</v>
      </c>
      <c r="C208" s="33" t="s">
        <v>44</v>
      </c>
      <c r="D208" s="33" t="s">
        <v>68</v>
      </c>
      <c r="E208" s="34" t="s">
        <v>49</v>
      </c>
      <c r="F208" s="34" t="s">
        <v>42</v>
      </c>
      <c r="G208" s="83">
        <f>G209</f>
        <v>258</v>
      </c>
      <c r="H208" s="185">
        <f>H209</f>
        <v>263</v>
      </c>
    </row>
    <row r="209" spans="1:8">
      <c r="A209" s="144" t="s">
        <v>69</v>
      </c>
      <c r="B209" s="76" t="s">
        <v>196</v>
      </c>
      <c r="C209" s="33" t="s">
        <v>44</v>
      </c>
      <c r="D209" s="33" t="s">
        <v>68</v>
      </c>
      <c r="E209" s="34" t="s">
        <v>56</v>
      </c>
      <c r="F209" s="34" t="s">
        <v>42</v>
      </c>
      <c r="G209" s="83">
        <f>G210+G211</f>
        <v>258</v>
      </c>
      <c r="H209" s="185">
        <f>H210+H211</f>
        <v>263</v>
      </c>
    </row>
    <row r="210" spans="1:8" ht="43.5">
      <c r="A210" s="138" t="s">
        <v>51</v>
      </c>
      <c r="B210" s="75" t="s">
        <v>196</v>
      </c>
      <c r="C210" s="33" t="s">
        <v>44</v>
      </c>
      <c r="D210" s="33" t="s">
        <v>68</v>
      </c>
      <c r="E210" s="34" t="s">
        <v>56</v>
      </c>
      <c r="F210" s="31" t="s">
        <v>52</v>
      </c>
      <c r="G210" s="83">
        <v>180</v>
      </c>
      <c r="H210" s="185">
        <v>183</v>
      </c>
    </row>
    <row r="211" spans="1:8">
      <c r="A211" s="138" t="s">
        <v>57</v>
      </c>
      <c r="B211" s="75" t="s">
        <v>196</v>
      </c>
      <c r="C211" s="33" t="s">
        <v>44</v>
      </c>
      <c r="D211" s="33" t="s">
        <v>68</v>
      </c>
      <c r="E211" s="34" t="s">
        <v>56</v>
      </c>
      <c r="F211" s="31" t="s">
        <v>58</v>
      </c>
      <c r="G211" s="83">
        <v>78</v>
      </c>
      <c r="H211" s="185">
        <v>80</v>
      </c>
    </row>
    <row r="212" spans="1:8" ht="28.5">
      <c r="A212" s="144" t="s">
        <v>197</v>
      </c>
      <c r="B212" s="53" t="s">
        <v>196</v>
      </c>
      <c r="C212" s="31" t="s">
        <v>44</v>
      </c>
      <c r="D212" s="31" t="s">
        <v>68</v>
      </c>
      <c r="E212" s="31" t="s">
        <v>198</v>
      </c>
      <c r="F212" s="31" t="s">
        <v>42</v>
      </c>
      <c r="G212" s="83">
        <f>G213</f>
        <v>266.7</v>
      </c>
      <c r="H212" s="185">
        <f>H213</f>
        <v>279.60000000000002</v>
      </c>
    </row>
    <row r="213" spans="1:8" ht="43.5">
      <c r="A213" s="138" t="s">
        <v>51</v>
      </c>
      <c r="B213" s="76" t="s">
        <v>196</v>
      </c>
      <c r="C213" s="31" t="s">
        <v>44</v>
      </c>
      <c r="D213" s="31" t="s">
        <v>68</v>
      </c>
      <c r="E213" s="34" t="s">
        <v>198</v>
      </c>
      <c r="F213" s="31" t="s">
        <v>52</v>
      </c>
      <c r="G213" s="83">
        <f>Лист4!F25</f>
        <v>266.7</v>
      </c>
      <c r="H213" s="185">
        <f>Лист4!G25</f>
        <v>279.60000000000002</v>
      </c>
    </row>
    <row r="214" spans="1:8">
      <c r="A214" s="141" t="s">
        <v>61</v>
      </c>
      <c r="B214" s="69" t="s">
        <v>196</v>
      </c>
      <c r="C214" s="44" t="s">
        <v>44</v>
      </c>
      <c r="D214" s="44" t="s">
        <v>62</v>
      </c>
      <c r="E214" s="45" t="s">
        <v>45</v>
      </c>
      <c r="F214" s="45" t="s">
        <v>42</v>
      </c>
      <c r="G214" s="166">
        <f>G215</f>
        <v>214.6</v>
      </c>
      <c r="H214" s="184">
        <f>H215</f>
        <v>216.6</v>
      </c>
    </row>
    <row r="215" spans="1:8" ht="29.25">
      <c r="A215" s="137" t="s">
        <v>48</v>
      </c>
      <c r="B215" s="53" t="s">
        <v>196</v>
      </c>
      <c r="C215" s="33" t="s">
        <v>44</v>
      </c>
      <c r="D215" s="33" t="s">
        <v>62</v>
      </c>
      <c r="E215" s="34" t="s">
        <v>49</v>
      </c>
      <c r="F215" s="34" t="s">
        <v>42</v>
      </c>
      <c r="G215" s="83">
        <f>G216+G219</f>
        <v>214.6</v>
      </c>
      <c r="H215" s="185">
        <f>H216+H219</f>
        <v>216.6</v>
      </c>
    </row>
    <row r="216" spans="1:8">
      <c r="A216" s="144" t="s">
        <v>79</v>
      </c>
      <c r="B216" s="53" t="s">
        <v>196</v>
      </c>
      <c r="C216" s="33" t="s">
        <v>44</v>
      </c>
      <c r="D216" s="33" t="s">
        <v>62</v>
      </c>
      <c r="E216" s="34" t="s">
        <v>199</v>
      </c>
      <c r="F216" s="34" t="s">
        <v>42</v>
      </c>
      <c r="G216" s="83">
        <f>Лист4!F58</f>
        <v>209.6</v>
      </c>
      <c r="H216" s="185">
        <f>Лист4!G58</f>
        <v>211.6</v>
      </c>
    </row>
    <row r="217" spans="1:8" ht="43.5">
      <c r="A217" s="138" t="s">
        <v>51</v>
      </c>
      <c r="B217" s="53" t="s">
        <v>196</v>
      </c>
      <c r="C217" s="33" t="s">
        <v>44</v>
      </c>
      <c r="D217" s="33" t="s">
        <v>62</v>
      </c>
      <c r="E217" s="34" t="s">
        <v>199</v>
      </c>
      <c r="F217" s="31" t="s">
        <v>52</v>
      </c>
      <c r="G217" s="83">
        <v>204</v>
      </c>
      <c r="H217" s="185">
        <f>Лист4!G59</f>
        <v>206</v>
      </c>
    </row>
    <row r="218" spans="1:8">
      <c r="A218" s="138" t="s">
        <v>57</v>
      </c>
      <c r="B218" s="53" t="s">
        <v>196</v>
      </c>
      <c r="C218" s="33" t="s">
        <v>44</v>
      </c>
      <c r="D218" s="33" t="s">
        <v>62</v>
      </c>
      <c r="E218" s="34" t="s">
        <v>199</v>
      </c>
      <c r="F218" s="31" t="s">
        <v>58</v>
      </c>
      <c r="G218" s="83">
        <v>5.6</v>
      </c>
      <c r="H218" s="185">
        <f>Лист4!G60</f>
        <v>5.6</v>
      </c>
    </row>
    <row r="219" spans="1:8">
      <c r="A219" s="142" t="s">
        <v>63</v>
      </c>
      <c r="B219" s="76" t="s">
        <v>196</v>
      </c>
      <c r="C219" s="31" t="s">
        <v>44</v>
      </c>
      <c r="D219" s="31" t="s">
        <v>62</v>
      </c>
      <c r="E219" s="32" t="s">
        <v>64</v>
      </c>
      <c r="F219" s="32" t="s">
        <v>42</v>
      </c>
      <c r="G219" s="84">
        <f>G220</f>
        <v>5</v>
      </c>
      <c r="H219" s="182">
        <f>H220</f>
        <v>5</v>
      </c>
    </row>
    <row r="220" spans="1:8">
      <c r="A220" s="138" t="s">
        <v>59</v>
      </c>
      <c r="B220" s="76" t="s">
        <v>196</v>
      </c>
      <c r="C220" s="31" t="s">
        <v>44</v>
      </c>
      <c r="D220" s="31" t="s">
        <v>62</v>
      </c>
      <c r="E220" s="32" t="s">
        <v>64</v>
      </c>
      <c r="F220" s="32" t="s">
        <v>60</v>
      </c>
      <c r="G220" s="84">
        <v>5</v>
      </c>
      <c r="H220" s="182">
        <v>5</v>
      </c>
    </row>
    <row r="221" spans="1:8">
      <c r="A221" s="151" t="s">
        <v>128</v>
      </c>
      <c r="B221" s="77" t="s">
        <v>196</v>
      </c>
      <c r="C221" s="47" t="s">
        <v>109</v>
      </c>
      <c r="D221" s="47" t="s">
        <v>40</v>
      </c>
      <c r="E221" s="48" t="s">
        <v>45</v>
      </c>
      <c r="F221" s="48" t="s">
        <v>42</v>
      </c>
      <c r="G221" s="173">
        <f>G222+G226</f>
        <v>9343</v>
      </c>
      <c r="H221" s="187">
        <f>H222+H226</f>
        <v>9483</v>
      </c>
    </row>
    <row r="222" spans="1:8">
      <c r="A222" s="141" t="s">
        <v>151</v>
      </c>
      <c r="B222" s="80" t="s">
        <v>196</v>
      </c>
      <c r="C222" s="45" t="s">
        <v>109</v>
      </c>
      <c r="D222" s="45" t="s">
        <v>47</v>
      </c>
      <c r="E222" s="45" t="s">
        <v>152</v>
      </c>
      <c r="F222" s="45" t="s">
        <v>42</v>
      </c>
      <c r="G222" s="166">
        <f t="shared" ref="G222:H224" si="15">G223</f>
        <v>4180</v>
      </c>
      <c r="H222" s="184">
        <f t="shared" si="15"/>
        <v>4330</v>
      </c>
    </row>
    <row r="223" spans="1:8">
      <c r="A223" s="144" t="s">
        <v>151</v>
      </c>
      <c r="B223" s="54" t="s">
        <v>196</v>
      </c>
      <c r="C223" s="34" t="s">
        <v>109</v>
      </c>
      <c r="D223" s="34" t="s">
        <v>47</v>
      </c>
      <c r="E223" s="34" t="s">
        <v>152</v>
      </c>
      <c r="F223" s="34" t="s">
        <v>42</v>
      </c>
      <c r="G223" s="83">
        <f t="shared" si="15"/>
        <v>4180</v>
      </c>
      <c r="H223" s="185">
        <f t="shared" si="15"/>
        <v>4330</v>
      </c>
    </row>
    <row r="224" spans="1:8" ht="29.25">
      <c r="A224" s="138" t="s">
        <v>136</v>
      </c>
      <c r="B224" s="54" t="s">
        <v>196</v>
      </c>
      <c r="C224" s="34" t="s">
        <v>109</v>
      </c>
      <c r="D224" s="34" t="s">
        <v>47</v>
      </c>
      <c r="E224" s="31" t="s">
        <v>154</v>
      </c>
      <c r="F224" s="31" t="s">
        <v>42</v>
      </c>
      <c r="G224" s="83">
        <f t="shared" si="15"/>
        <v>4180</v>
      </c>
      <c r="H224" s="185">
        <f t="shared" si="15"/>
        <v>4330</v>
      </c>
    </row>
    <row r="225" spans="1:9">
      <c r="A225" s="138" t="s">
        <v>134</v>
      </c>
      <c r="B225" s="54" t="s">
        <v>196</v>
      </c>
      <c r="C225" s="34" t="s">
        <v>109</v>
      </c>
      <c r="D225" s="34" t="s">
        <v>47</v>
      </c>
      <c r="E225" s="31" t="s">
        <v>154</v>
      </c>
      <c r="F225" s="31" t="s">
        <v>135</v>
      </c>
      <c r="G225" s="83">
        <v>4180</v>
      </c>
      <c r="H225" s="185">
        <v>4330</v>
      </c>
    </row>
    <row r="226" spans="1:9">
      <c r="A226" s="141" t="s">
        <v>157</v>
      </c>
      <c r="B226" s="80" t="s">
        <v>196</v>
      </c>
      <c r="C226" s="45" t="s">
        <v>109</v>
      </c>
      <c r="D226" s="45" t="s">
        <v>109</v>
      </c>
      <c r="E226" s="45" t="s">
        <v>45</v>
      </c>
      <c r="F226" s="45" t="s">
        <v>42</v>
      </c>
      <c r="G226" s="166">
        <f>G227</f>
        <v>5163</v>
      </c>
      <c r="H226" s="184">
        <f>H227</f>
        <v>5153</v>
      </c>
    </row>
    <row r="227" spans="1:9">
      <c r="A227" s="144" t="s">
        <v>158</v>
      </c>
      <c r="B227" s="54" t="s">
        <v>196</v>
      </c>
      <c r="C227" s="34" t="s">
        <v>109</v>
      </c>
      <c r="D227" s="34" t="s">
        <v>109</v>
      </c>
      <c r="E227" s="34" t="s">
        <v>159</v>
      </c>
      <c r="F227" s="34" t="s">
        <v>42</v>
      </c>
      <c r="G227" s="83">
        <f>G228+G230</f>
        <v>5163</v>
      </c>
      <c r="H227" s="185">
        <f>H228+H230</f>
        <v>5153</v>
      </c>
    </row>
    <row r="228" spans="1:9">
      <c r="A228" s="144" t="s">
        <v>79</v>
      </c>
      <c r="B228" s="54" t="s">
        <v>196</v>
      </c>
      <c r="C228" s="34" t="s">
        <v>109</v>
      </c>
      <c r="D228" s="34" t="s">
        <v>109</v>
      </c>
      <c r="E228" s="34" t="s">
        <v>160</v>
      </c>
      <c r="F228" s="34" t="s">
        <v>42</v>
      </c>
      <c r="G228" s="83">
        <f>G229</f>
        <v>3865</v>
      </c>
      <c r="H228" s="185">
        <f>H229</f>
        <v>3865</v>
      </c>
    </row>
    <row r="229" spans="1:9">
      <c r="A229" s="138" t="s">
        <v>134</v>
      </c>
      <c r="B229" s="54" t="s">
        <v>196</v>
      </c>
      <c r="C229" s="34" t="s">
        <v>109</v>
      </c>
      <c r="D229" s="34" t="s">
        <v>109</v>
      </c>
      <c r="E229" s="34" t="s">
        <v>160</v>
      </c>
      <c r="F229" s="31" t="s">
        <v>135</v>
      </c>
      <c r="G229" s="83">
        <f>3865</f>
        <v>3865</v>
      </c>
      <c r="H229" s="185">
        <f>-178+4043</f>
        <v>3865</v>
      </c>
    </row>
    <row r="230" spans="1:9" ht="29.25">
      <c r="A230" s="138" t="s">
        <v>136</v>
      </c>
      <c r="B230" s="54" t="s">
        <v>196</v>
      </c>
      <c r="C230" s="34" t="s">
        <v>109</v>
      </c>
      <c r="D230" s="34" t="s">
        <v>109</v>
      </c>
      <c r="E230" s="31" t="s">
        <v>161</v>
      </c>
      <c r="F230" s="31" t="s">
        <v>42</v>
      </c>
      <c r="G230" s="83">
        <f>G231</f>
        <v>1298</v>
      </c>
      <c r="H230" s="185">
        <f>Лист4!G140</f>
        <v>1288</v>
      </c>
    </row>
    <row r="231" spans="1:9">
      <c r="A231" s="138" t="s">
        <v>134</v>
      </c>
      <c r="B231" s="54" t="s">
        <v>196</v>
      </c>
      <c r="C231" s="34" t="s">
        <v>109</v>
      </c>
      <c r="D231" s="34" t="s">
        <v>109</v>
      </c>
      <c r="E231" s="31" t="s">
        <v>161</v>
      </c>
      <c r="F231" s="31" t="s">
        <v>135</v>
      </c>
      <c r="G231" s="83">
        <v>1298</v>
      </c>
      <c r="H231" s="185">
        <f>Лист4!G141</f>
        <v>1288</v>
      </c>
    </row>
    <row r="232" spans="1:9">
      <c r="A232" s="156" t="s">
        <v>200</v>
      </c>
      <c r="B232" s="108" t="s">
        <v>196</v>
      </c>
      <c r="C232" s="48" t="s">
        <v>72</v>
      </c>
      <c r="D232" s="48" t="s">
        <v>47</v>
      </c>
      <c r="E232" s="48" t="s">
        <v>45</v>
      </c>
      <c r="F232" s="48" t="s">
        <v>42</v>
      </c>
      <c r="G232" s="173">
        <f>G233</f>
        <v>660</v>
      </c>
      <c r="H232" s="187">
        <f>H233</f>
        <v>700</v>
      </c>
    </row>
    <row r="233" spans="1:9">
      <c r="A233" s="144" t="s">
        <v>201</v>
      </c>
      <c r="B233" s="53" t="s">
        <v>196</v>
      </c>
      <c r="C233" s="34" t="s">
        <v>72</v>
      </c>
      <c r="D233" s="34" t="s">
        <v>47</v>
      </c>
      <c r="E233" s="34" t="s">
        <v>202</v>
      </c>
      <c r="F233" s="34" t="s">
        <v>42</v>
      </c>
      <c r="G233" s="83">
        <f>G234</f>
        <v>660</v>
      </c>
      <c r="H233" s="185">
        <f>H234</f>
        <v>700</v>
      </c>
    </row>
    <row r="234" spans="1:9">
      <c r="A234" s="137" t="s">
        <v>57</v>
      </c>
      <c r="B234" s="75" t="s">
        <v>196</v>
      </c>
      <c r="C234" s="34" t="s">
        <v>72</v>
      </c>
      <c r="D234" s="34" t="s">
        <v>47</v>
      </c>
      <c r="E234" s="34" t="s">
        <v>202</v>
      </c>
      <c r="F234" s="31" t="s">
        <v>58</v>
      </c>
      <c r="G234" s="83">
        <v>660</v>
      </c>
      <c r="H234" s="185">
        <v>700</v>
      </c>
    </row>
    <row r="235" spans="1:9">
      <c r="A235" s="143" t="s">
        <v>203</v>
      </c>
      <c r="B235" s="85" t="s">
        <v>96</v>
      </c>
      <c r="C235" s="68" t="s">
        <v>40</v>
      </c>
      <c r="D235" s="68" t="s">
        <v>40</v>
      </c>
      <c r="E235" s="67" t="s">
        <v>45</v>
      </c>
      <c r="F235" s="67" t="s">
        <v>42</v>
      </c>
      <c r="G235" s="174">
        <f>G236+G249+G264</f>
        <v>98653.700000000012</v>
      </c>
      <c r="H235" s="188">
        <f>H236+H249+H264</f>
        <v>108330.40000000001</v>
      </c>
    </row>
    <row r="236" spans="1:9">
      <c r="A236" s="65" t="s">
        <v>43</v>
      </c>
      <c r="B236" s="80" t="s">
        <v>96</v>
      </c>
      <c r="C236" s="66" t="s">
        <v>44</v>
      </c>
      <c r="D236" s="66" t="s">
        <v>40</v>
      </c>
      <c r="E236" s="66" t="s">
        <v>45</v>
      </c>
      <c r="F236" s="105" t="s">
        <v>42</v>
      </c>
      <c r="G236" s="168">
        <f>G237+G242</f>
        <v>6184</v>
      </c>
      <c r="H236" s="97">
        <f>H237+H242</f>
        <v>6011.8</v>
      </c>
      <c r="I236" s="25"/>
    </row>
    <row r="237" spans="1:9" ht="30">
      <c r="A237" s="141" t="s">
        <v>114</v>
      </c>
      <c r="B237" s="69" t="s">
        <v>96</v>
      </c>
      <c r="C237" s="44" t="s">
        <v>44</v>
      </c>
      <c r="D237" s="44" t="s">
        <v>98</v>
      </c>
      <c r="E237" s="45" t="s">
        <v>45</v>
      </c>
      <c r="F237" s="45" t="s">
        <v>42</v>
      </c>
      <c r="G237" s="166">
        <f>G238</f>
        <v>4971</v>
      </c>
      <c r="H237" s="184">
        <f>H238</f>
        <v>4766</v>
      </c>
    </row>
    <row r="238" spans="1:9" ht="29.25">
      <c r="A238" s="137" t="s">
        <v>48</v>
      </c>
      <c r="B238" s="75" t="s">
        <v>96</v>
      </c>
      <c r="C238" s="33" t="s">
        <v>44</v>
      </c>
      <c r="D238" s="33" t="s">
        <v>98</v>
      </c>
      <c r="E238" s="34" t="s">
        <v>49</v>
      </c>
      <c r="F238" s="34" t="s">
        <v>42</v>
      </c>
      <c r="G238" s="83">
        <f>G239</f>
        <v>4971</v>
      </c>
      <c r="H238" s="185">
        <f>H239</f>
        <v>4766</v>
      </c>
    </row>
    <row r="239" spans="1:9">
      <c r="A239" s="144" t="s">
        <v>69</v>
      </c>
      <c r="B239" s="53" t="s">
        <v>96</v>
      </c>
      <c r="C239" s="33" t="s">
        <v>44</v>
      </c>
      <c r="D239" s="33" t="s">
        <v>98</v>
      </c>
      <c r="E239" s="34" t="s">
        <v>56</v>
      </c>
      <c r="F239" s="34" t="s">
        <v>42</v>
      </c>
      <c r="G239" s="83">
        <f>G240+G241</f>
        <v>4971</v>
      </c>
      <c r="H239" s="185">
        <f>H240+H241</f>
        <v>4766</v>
      </c>
    </row>
    <row r="240" spans="1:9" ht="43.5">
      <c r="A240" s="138" t="s">
        <v>51</v>
      </c>
      <c r="B240" s="76" t="s">
        <v>96</v>
      </c>
      <c r="C240" s="33" t="s">
        <v>44</v>
      </c>
      <c r="D240" s="33" t="s">
        <v>98</v>
      </c>
      <c r="E240" s="34" t="s">
        <v>56</v>
      </c>
      <c r="F240" s="31" t="s">
        <v>52</v>
      </c>
      <c r="G240" s="83">
        <f>3540</f>
        <v>3540</v>
      </c>
      <c r="H240" s="185">
        <f>3584-200</f>
        <v>3384</v>
      </c>
    </row>
    <row r="241" spans="1:8">
      <c r="A241" s="138" t="s">
        <v>57</v>
      </c>
      <c r="B241" s="76" t="s">
        <v>96</v>
      </c>
      <c r="C241" s="33" t="s">
        <v>44</v>
      </c>
      <c r="D241" s="33" t="s">
        <v>98</v>
      </c>
      <c r="E241" s="34" t="s">
        <v>56</v>
      </c>
      <c r="F241" s="31" t="s">
        <v>58</v>
      </c>
      <c r="G241" s="83">
        <v>1431</v>
      </c>
      <c r="H241" s="185">
        <f>1482-100</f>
        <v>1382</v>
      </c>
    </row>
    <row r="242" spans="1:8">
      <c r="A242" s="157" t="s">
        <v>61</v>
      </c>
      <c r="B242" s="69" t="s">
        <v>96</v>
      </c>
      <c r="C242" s="44" t="s">
        <v>44</v>
      </c>
      <c r="D242" s="44" t="s">
        <v>62</v>
      </c>
      <c r="E242" s="45" t="s">
        <v>45</v>
      </c>
      <c r="F242" s="45" t="s">
        <v>42</v>
      </c>
      <c r="G242" s="166">
        <f>G243+G246</f>
        <v>1213</v>
      </c>
      <c r="H242" s="184">
        <f>H243+H246</f>
        <v>1245.8</v>
      </c>
    </row>
    <row r="243" spans="1:8" ht="29.25">
      <c r="A243" s="137" t="s">
        <v>48</v>
      </c>
      <c r="B243" s="53" t="s">
        <v>96</v>
      </c>
      <c r="C243" s="33" t="s">
        <v>44</v>
      </c>
      <c r="D243" s="33" t="s">
        <v>62</v>
      </c>
      <c r="E243" s="34" t="s">
        <v>49</v>
      </c>
      <c r="F243" s="34" t="s">
        <v>42</v>
      </c>
      <c r="G243" s="83">
        <f>G244</f>
        <v>12</v>
      </c>
      <c r="H243" s="185">
        <f>H244</f>
        <v>12</v>
      </c>
    </row>
    <row r="244" spans="1:8">
      <c r="A244" s="142" t="s">
        <v>63</v>
      </c>
      <c r="B244" s="76" t="s">
        <v>96</v>
      </c>
      <c r="C244" s="31" t="s">
        <v>44</v>
      </c>
      <c r="D244" s="31" t="s">
        <v>62</v>
      </c>
      <c r="E244" s="32" t="s">
        <v>64</v>
      </c>
      <c r="F244" s="32" t="s">
        <v>42</v>
      </c>
      <c r="G244" s="84">
        <f>G245</f>
        <v>12</v>
      </c>
      <c r="H244" s="182">
        <f>H245</f>
        <v>12</v>
      </c>
    </row>
    <row r="245" spans="1:8">
      <c r="A245" s="138" t="s">
        <v>59</v>
      </c>
      <c r="B245" s="76" t="s">
        <v>96</v>
      </c>
      <c r="C245" s="31" t="s">
        <v>44</v>
      </c>
      <c r="D245" s="31" t="s">
        <v>62</v>
      </c>
      <c r="E245" s="32" t="s">
        <v>64</v>
      </c>
      <c r="F245" s="32" t="s">
        <v>60</v>
      </c>
      <c r="G245" s="84">
        <v>12</v>
      </c>
      <c r="H245" s="182">
        <v>12</v>
      </c>
    </row>
    <row r="246" spans="1:8">
      <c r="A246" s="138" t="s">
        <v>204</v>
      </c>
      <c r="B246" s="76" t="s">
        <v>96</v>
      </c>
      <c r="C246" s="36" t="s">
        <v>44</v>
      </c>
      <c r="D246" s="33" t="s">
        <v>62</v>
      </c>
      <c r="E246" s="36" t="s">
        <v>205</v>
      </c>
      <c r="F246" s="36" t="s">
        <v>42</v>
      </c>
      <c r="G246" s="83">
        <f>G247+G248</f>
        <v>1201</v>
      </c>
      <c r="H246" s="185">
        <f>H247+H248</f>
        <v>1233.8</v>
      </c>
    </row>
    <row r="247" spans="1:8" ht="43.5">
      <c r="A247" s="138" t="s">
        <v>51</v>
      </c>
      <c r="B247" s="76" t="s">
        <v>96</v>
      </c>
      <c r="C247" s="36" t="s">
        <v>44</v>
      </c>
      <c r="D247" s="33" t="s">
        <v>62</v>
      </c>
      <c r="E247" s="36" t="s">
        <v>205</v>
      </c>
      <c r="F247" s="31" t="s">
        <v>52</v>
      </c>
      <c r="G247" s="83">
        <v>1103</v>
      </c>
      <c r="H247" s="185">
        <v>1116</v>
      </c>
    </row>
    <row r="248" spans="1:8">
      <c r="A248" s="138" t="s">
        <v>57</v>
      </c>
      <c r="B248" s="76" t="s">
        <v>96</v>
      </c>
      <c r="C248" s="36" t="s">
        <v>44</v>
      </c>
      <c r="D248" s="33" t="s">
        <v>62</v>
      </c>
      <c r="E248" s="36" t="s">
        <v>205</v>
      </c>
      <c r="F248" s="31" t="s">
        <v>58</v>
      </c>
      <c r="G248" s="83">
        <v>98</v>
      </c>
      <c r="H248" s="185">
        <f>Лист4!G63</f>
        <v>117.8</v>
      </c>
    </row>
    <row r="249" spans="1:8" ht="30">
      <c r="A249" s="151" t="s">
        <v>206</v>
      </c>
      <c r="B249" s="77" t="s">
        <v>96</v>
      </c>
      <c r="C249" s="49" t="s">
        <v>207</v>
      </c>
      <c r="D249" s="49" t="s">
        <v>40</v>
      </c>
      <c r="E249" s="48" t="s">
        <v>45</v>
      </c>
      <c r="F249" s="48" t="s">
        <v>42</v>
      </c>
      <c r="G249" s="173">
        <f>G250</f>
        <v>82649.700000000012</v>
      </c>
      <c r="H249" s="187">
        <f>H250</f>
        <v>82685.600000000006</v>
      </c>
    </row>
    <row r="250" spans="1:8">
      <c r="A250" s="141" t="s">
        <v>208</v>
      </c>
      <c r="B250" s="69" t="s">
        <v>96</v>
      </c>
      <c r="C250" s="43" t="s">
        <v>207</v>
      </c>
      <c r="D250" s="43" t="s">
        <v>44</v>
      </c>
      <c r="E250" s="45" t="s">
        <v>45</v>
      </c>
      <c r="F250" s="45" t="s">
        <v>42</v>
      </c>
      <c r="G250" s="166">
        <f>G251+G260</f>
        <v>82649.700000000012</v>
      </c>
      <c r="H250" s="184">
        <f>H251+H260</f>
        <v>82685.600000000006</v>
      </c>
    </row>
    <row r="251" spans="1:8">
      <c r="A251" s="144" t="s">
        <v>209</v>
      </c>
      <c r="B251" s="53" t="s">
        <v>96</v>
      </c>
      <c r="C251" s="36" t="s">
        <v>207</v>
      </c>
      <c r="D251" s="36" t="s">
        <v>44</v>
      </c>
      <c r="E251" s="34" t="s">
        <v>210</v>
      </c>
      <c r="F251" s="34" t="s">
        <v>42</v>
      </c>
      <c r="G251" s="83">
        <f>G255+G252</f>
        <v>82463.600000000006</v>
      </c>
      <c r="H251" s="185">
        <f>H252+H255</f>
        <v>82496.3</v>
      </c>
    </row>
    <row r="252" spans="1:8">
      <c r="A252" s="73" t="s">
        <v>209</v>
      </c>
      <c r="B252" s="53" t="s">
        <v>96</v>
      </c>
      <c r="C252" s="36" t="s">
        <v>207</v>
      </c>
      <c r="D252" s="36" t="s">
        <v>44</v>
      </c>
      <c r="E252" s="34" t="s">
        <v>211</v>
      </c>
      <c r="F252" s="34" t="s">
        <v>42</v>
      </c>
      <c r="G252" s="83">
        <f>G253</f>
        <v>5861.7</v>
      </c>
      <c r="H252" s="185">
        <f>H253</f>
        <v>4586.8</v>
      </c>
    </row>
    <row r="253" spans="1:8" ht="28.5">
      <c r="A253" s="73" t="s">
        <v>212</v>
      </c>
      <c r="B253" s="53" t="s">
        <v>96</v>
      </c>
      <c r="C253" s="36" t="s">
        <v>207</v>
      </c>
      <c r="D253" s="36" t="s">
        <v>44</v>
      </c>
      <c r="E253" s="34" t="s">
        <v>213</v>
      </c>
      <c r="F253" s="34" t="s">
        <v>42</v>
      </c>
      <c r="G253" s="83">
        <f>G254</f>
        <v>5861.7</v>
      </c>
      <c r="H253" s="185">
        <f>H254</f>
        <v>4586.8</v>
      </c>
    </row>
    <row r="254" spans="1:8">
      <c r="A254" s="73" t="s">
        <v>214</v>
      </c>
      <c r="B254" s="53" t="s">
        <v>96</v>
      </c>
      <c r="C254" s="36" t="s">
        <v>207</v>
      </c>
      <c r="D254" s="36" t="s">
        <v>44</v>
      </c>
      <c r="E254" s="34" t="s">
        <v>213</v>
      </c>
      <c r="F254" s="34" t="s">
        <v>215</v>
      </c>
      <c r="G254" s="83">
        <v>5861.7</v>
      </c>
      <c r="H254" s="185">
        <f>4745.6-158.8</f>
        <v>4586.8</v>
      </c>
    </row>
    <row r="255" spans="1:8">
      <c r="A255" s="144" t="s">
        <v>209</v>
      </c>
      <c r="B255" s="53" t="s">
        <v>96</v>
      </c>
      <c r="C255" s="36" t="s">
        <v>207</v>
      </c>
      <c r="D255" s="36" t="s">
        <v>44</v>
      </c>
      <c r="E255" s="34" t="s">
        <v>264</v>
      </c>
      <c r="F255" s="34" t="s">
        <v>42</v>
      </c>
      <c r="G255" s="83">
        <f>G256+G258</f>
        <v>76601.900000000009</v>
      </c>
      <c r="H255" s="83">
        <f>H256+H258</f>
        <v>77909.5</v>
      </c>
    </row>
    <row r="256" spans="1:8" ht="28.5">
      <c r="A256" s="144" t="s">
        <v>263</v>
      </c>
      <c r="B256" s="53" t="s">
        <v>96</v>
      </c>
      <c r="C256" s="36" t="s">
        <v>207</v>
      </c>
      <c r="D256" s="36" t="s">
        <v>44</v>
      </c>
      <c r="E256" s="34" t="s">
        <v>262</v>
      </c>
      <c r="F256" s="34" t="s">
        <v>42</v>
      </c>
      <c r="G256" s="83">
        <f>G257</f>
        <v>76445.100000000006</v>
      </c>
      <c r="H256" s="185">
        <f>H257</f>
        <v>77750.7</v>
      </c>
    </row>
    <row r="257" spans="1:9">
      <c r="A257" s="144" t="s">
        <v>81</v>
      </c>
      <c r="B257" s="53" t="s">
        <v>96</v>
      </c>
      <c r="C257" s="36" t="s">
        <v>207</v>
      </c>
      <c r="D257" s="36" t="s">
        <v>44</v>
      </c>
      <c r="E257" s="34" t="s">
        <v>262</v>
      </c>
      <c r="F257" s="34" t="s">
        <v>96</v>
      </c>
      <c r="G257" s="83">
        <v>76445.100000000006</v>
      </c>
      <c r="H257" s="185">
        <v>77750.7</v>
      </c>
    </row>
    <row r="258" spans="1:9" ht="28.5">
      <c r="A258" s="144" t="s">
        <v>263</v>
      </c>
      <c r="B258" s="53" t="s">
        <v>96</v>
      </c>
      <c r="C258" s="36" t="s">
        <v>207</v>
      </c>
      <c r="D258" s="36" t="s">
        <v>44</v>
      </c>
      <c r="E258" s="34" t="s">
        <v>261</v>
      </c>
      <c r="F258" s="34" t="s">
        <v>42</v>
      </c>
      <c r="G258" s="83">
        <f>G259</f>
        <v>156.80000000000001</v>
      </c>
      <c r="H258" s="185">
        <f>H259</f>
        <v>158.80000000000001</v>
      </c>
    </row>
    <row r="259" spans="1:9">
      <c r="A259" s="144" t="s">
        <v>81</v>
      </c>
      <c r="B259" s="53" t="s">
        <v>96</v>
      </c>
      <c r="C259" s="36" t="s">
        <v>207</v>
      </c>
      <c r="D259" s="36" t="s">
        <v>44</v>
      </c>
      <c r="E259" s="34" t="s">
        <v>261</v>
      </c>
      <c r="F259" s="34" t="s">
        <v>96</v>
      </c>
      <c r="G259" s="83">
        <v>156.80000000000001</v>
      </c>
      <c r="H259" s="185">
        <v>158.80000000000001</v>
      </c>
    </row>
    <row r="260" spans="1:9">
      <c r="A260" s="141" t="s">
        <v>216</v>
      </c>
      <c r="B260" s="69" t="s">
        <v>96</v>
      </c>
      <c r="C260" s="44" t="s">
        <v>207</v>
      </c>
      <c r="D260" s="44" t="s">
        <v>47</v>
      </c>
      <c r="E260" s="45" t="s">
        <v>41</v>
      </c>
      <c r="F260" s="45" t="s">
        <v>42</v>
      </c>
      <c r="G260" s="166">
        <f>G261</f>
        <v>186.1</v>
      </c>
      <c r="H260" s="184">
        <f>H261</f>
        <v>189.3</v>
      </c>
    </row>
    <row r="261" spans="1:9">
      <c r="A261" s="141" t="s">
        <v>217</v>
      </c>
      <c r="B261" s="69" t="s">
        <v>96</v>
      </c>
      <c r="C261" s="44" t="s">
        <v>207</v>
      </c>
      <c r="D261" s="44" t="s">
        <v>47</v>
      </c>
      <c r="E261" s="45" t="s">
        <v>218</v>
      </c>
      <c r="F261" s="45" t="s">
        <v>42</v>
      </c>
      <c r="G261" s="166">
        <f>G263</f>
        <v>186.1</v>
      </c>
      <c r="H261" s="184">
        <f>H263</f>
        <v>189.3</v>
      </c>
    </row>
    <row r="262" spans="1:9">
      <c r="A262" s="144" t="s">
        <v>219</v>
      </c>
      <c r="B262" s="53" t="s">
        <v>96</v>
      </c>
      <c r="C262" s="33" t="s">
        <v>207</v>
      </c>
      <c r="D262" s="33" t="s">
        <v>47</v>
      </c>
      <c r="E262" s="34" t="s">
        <v>220</v>
      </c>
      <c r="F262" s="34" t="s">
        <v>42</v>
      </c>
      <c r="G262" s="83">
        <f>G263</f>
        <v>186.1</v>
      </c>
      <c r="H262" s="185">
        <f>H263</f>
        <v>189.3</v>
      </c>
      <c r="I262" s="98"/>
    </row>
    <row r="263" spans="1:9">
      <c r="A263" s="144" t="s">
        <v>221</v>
      </c>
      <c r="B263" s="53" t="s">
        <v>96</v>
      </c>
      <c r="C263" s="33" t="s">
        <v>207</v>
      </c>
      <c r="D263" s="33" t="s">
        <v>47</v>
      </c>
      <c r="E263" s="34" t="s">
        <v>220</v>
      </c>
      <c r="F263" s="34" t="s">
        <v>222</v>
      </c>
      <c r="G263" s="84">
        <v>186.1</v>
      </c>
      <c r="H263" s="182">
        <v>189.3</v>
      </c>
      <c r="I263" s="98"/>
    </row>
    <row r="264" spans="1:9">
      <c r="A264" s="145" t="s">
        <v>228</v>
      </c>
      <c r="B264" s="102" t="s">
        <v>96</v>
      </c>
      <c r="C264" s="100" t="s">
        <v>229</v>
      </c>
      <c r="D264" s="100" t="s">
        <v>40</v>
      </c>
      <c r="E264" s="101" t="s">
        <v>45</v>
      </c>
      <c r="F264" s="101" t="s">
        <v>42</v>
      </c>
      <c r="G264" s="103">
        <f>G265</f>
        <v>9820</v>
      </c>
      <c r="H264" s="192">
        <f>H265</f>
        <v>19633</v>
      </c>
      <c r="I264" s="98"/>
    </row>
    <row r="265" spans="1:9">
      <c r="A265" s="133" t="s">
        <v>228</v>
      </c>
      <c r="B265" s="53" t="s">
        <v>96</v>
      </c>
      <c r="C265" s="38" t="s">
        <v>229</v>
      </c>
      <c r="D265" s="38" t="s">
        <v>229</v>
      </c>
      <c r="E265" s="31" t="s">
        <v>230</v>
      </c>
      <c r="F265" s="31" t="s">
        <v>42</v>
      </c>
      <c r="G265" s="84">
        <f>G266</f>
        <v>9820</v>
      </c>
      <c r="H265" s="182">
        <f>H266</f>
        <v>19633</v>
      </c>
      <c r="I265" s="98"/>
    </row>
    <row r="266" spans="1:9" ht="15.75" thickBot="1">
      <c r="A266" s="193" t="s">
        <v>59</v>
      </c>
      <c r="B266" s="194" t="s">
        <v>96</v>
      </c>
      <c r="C266" s="122" t="s">
        <v>229</v>
      </c>
      <c r="D266" s="122" t="s">
        <v>229</v>
      </c>
      <c r="E266" s="116" t="s">
        <v>230</v>
      </c>
      <c r="F266" s="116" t="s">
        <v>60</v>
      </c>
      <c r="G266" s="195">
        <v>9820</v>
      </c>
      <c r="H266" s="196">
        <v>19633</v>
      </c>
      <c r="I266" s="98"/>
    </row>
    <row r="267" spans="1:9" ht="15.75" thickBot="1">
      <c r="A267" s="217" t="s">
        <v>20</v>
      </c>
      <c r="B267" s="197"/>
      <c r="C267" s="198"/>
      <c r="D267" s="198"/>
      <c r="E267" s="198"/>
      <c r="F267" s="198"/>
      <c r="G267" s="199">
        <f>G5+G21+G91+G99+G108+G114+G176+G205+G235</f>
        <v>531690.88</v>
      </c>
      <c r="H267" s="200">
        <f>H5+H21+H91+H99+H108+H114+H176+H205+H235</f>
        <v>546460.61</v>
      </c>
      <c r="I267" s="98"/>
    </row>
    <row r="268" spans="1:9">
      <c r="A268" s="24"/>
      <c r="B268" s="24"/>
      <c r="C268" s="25"/>
      <c r="D268" s="25"/>
      <c r="E268" s="25"/>
      <c r="F268" s="25"/>
      <c r="G268" s="26"/>
    </row>
    <row r="269" spans="1:9" ht="15.75">
      <c r="A269" s="10" t="s">
        <v>21</v>
      </c>
      <c r="B269" s="10"/>
      <c r="C269" s="11"/>
      <c r="D269" s="11"/>
      <c r="E269" s="11"/>
      <c r="F269" s="12" t="s">
        <v>22</v>
      </c>
      <c r="G269" s="96"/>
      <c r="H269" s="96"/>
    </row>
    <row r="270" spans="1:9">
      <c r="H270" s="96"/>
    </row>
    <row r="271" spans="1:9">
      <c r="G271" s="19"/>
      <c r="H271" s="96"/>
    </row>
    <row r="273" spans="7:9">
      <c r="G273" s="19"/>
      <c r="H273" s="19"/>
    </row>
    <row r="275" spans="7:9">
      <c r="G275" s="19"/>
      <c r="H275" s="19"/>
      <c r="I275" s="19"/>
    </row>
    <row r="277" spans="7:9">
      <c r="G277" s="19"/>
      <c r="H277" s="19"/>
    </row>
    <row r="278" spans="7:9">
      <c r="G278" s="19"/>
      <c r="H278" s="19"/>
    </row>
    <row r="280" spans="7:9">
      <c r="G280" s="19"/>
      <c r="H280" s="19"/>
    </row>
    <row r="283" spans="7:9">
      <c r="G283" s="19"/>
      <c r="H283" s="19"/>
    </row>
    <row r="284" spans="7:9">
      <c r="G284" s="19"/>
      <c r="H284" s="19"/>
    </row>
    <row r="285" spans="7:9">
      <c r="G285" s="19"/>
      <c r="H285" s="19"/>
    </row>
    <row r="286" spans="7:9">
      <c r="G286" s="19"/>
      <c r="H286" s="19"/>
    </row>
  </sheetData>
  <autoFilter ref="A4:H267">
    <filterColumn colId="2"/>
    <filterColumn colId="3"/>
  </autoFilter>
  <mergeCells count="2">
    <mergeCell ref="A2:H2"/>
    <mergeCell ref="G1:H1"/>
  </mergeCells>
  <printOptions horizontalCentered="1"/>
  <pageMargins left="0.39370078740157483" right="0.39370078740157483" top="0" bottom="0" header="0.31496062992125984" footer="0.31496062992125984"/>
  <pageSetup paperSize="9" scale="55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tabSelected="1" topLeftCell="A195" workbookViewId="0">
      <selection activeCell="A207" sqref="A207"/>
    </sheetView>
  </sheetViews>
  <sheetFormatPr defaultRowHeight="15"/>
  <cols>
    <col min="1" max="1" width="56" customWidth="1"/>
    <col min="4" max="4" width="13.42578125" customWidth="1"/>
    <col min="6" max="6" width="20" customWidth="1"/>
    <col min="7" max="7" width="18.85546875" customWidth="1"/>
  </cols>
  <sheetData>
    <row r="1" spans="1:7">
      <c r="A1" s="28"/>
      <c r="B1" s="28"/>
      <c r="C1" s="28"/>
      <c r="D1" s="28"/>
      <c r="E1" s="28"/>
      <c r="F1" s="218" t="s">
        <v>253</v>
      </c>
      <c r="G1" s="218"/>
    </row>
    <row r="2" spans="1:7" ht="75" hidden="1">
      <c r="A2" s="29"/>
      <c r="B2" s="29"/>
      <c r="C2" s="29"/>
      <c r="D2" s="14"/>
      <c r="E2" s="14"/>
      <c r="F2" s="13" t="s">
        <v>225</v>
      </c>
    </row>
    <row r="3" spans="1:7">
      <c r="A3" s="30"/>
      <c r="B3" s="30"/>
      <c r="C3" s="30"/>
      <c r="D3" s="30"/>
      <c r="E3" s="30"/>
      <c r="F3" s="30"/>
    </row>
    <row r="4" spans="1:7" ht="51.75" customHeight="1">
      <c r="A4" s="226" t="s">
        <v>250</v>
      </c>
      <c r="B4" s="226"/>
      <c r="C4" s="226"/>
      <c r="D4" s="226"/>
      <c r="E4" s="226"/>
      <c r="F4" s="226"/>
      <c r="G4" s="226"/>
    </row>
    <row r="5" spans="1:7" ht="15.75" thickBot="1">
      <c r="A5" s="22"/>
      <c r="B5" s="22"/>
      <c r="C5" s="22"/>
      <c r="D5" s="22"/>
      <c r="E5" s="22"/>
      <c r="F5" s="227" t="s">
        <v>32</v>
      </c>
      <c r="G5" s="227"/>
    </row>
    <row r="6" spans="1:7" ht="15.75" thickBot="1">
      <c r="A6" s="55" t="s">
        <v>33</v>
      </c>
      <c r="B6" s="57" t="s">
        <v>35</v>
      </c>
      <c r="C6" s="57" t="s">
        <v>36</v>
      </c>
      <c r="D6" s="57" t="s">
        <v>37</v>
      </c>
      <c r="E6" s="57" t="s">
        <v>38</v>
      </c>
      <c r="F6" s="58" t="s">
        <v>223</v>
      </c>
      <c r="G6" s="58" t="s">
        <v>224</v>
      </c>
    </row>
    <row r="7" spans="1:7">
      <c r="A7" s="126" t="s">
        <v>43</v>
      </c>
      <c r="B7" s="127" t="s">
        <v>44</v>
      </c>
      <c r="C7" s="127" t="s">
        <v>40</v>
      </c>
      <c r="D7" s="127" t="s">
        <v>45</v>
      </c>
      <c r="E7" s="128" t="s">
        <v>42</v>
      </c>
      <c r="F7" s="129">
        <f>F8+F12+F18+F33+F39+F44</f>
        <v>40983.480000000003</v>
      </c>
      <c r="G7" s="129">
        <f>G8+G12+G18+G33+G39+G44+G29</f>
        <v>40109.909999999996</v>
      </c>
    </row>
    <row r="8" spans="1:7" ht="45">
      <c r="A8" s="78" t="s">
        <v>46</v>
      </c>
      <c r="B8" s="43" t="s">
        <v>44</v>
      </c>
      <c r="C8" s="43" t="s">
        <v>47</v>
      </c>
      <c r="D8" s="43" t="s">
        <v>45</v>
      </c>
      <c r="E8" s="43" t="s">
        <v>42</v>
      </c>
      <c r="F8" s="86">
        <f t="shared" ref="F8:G10" si="0">F9</f>
        <v>1925</v>
      </c>
      <c r="G8" s="86">
        <f t="shared" si="0"/>
        <v>1949</v>
      </c>
    </row>
    <row r="9" spans="1:7" ht="57.75">
      <c r="A9" s="70" t="s">
        <v>48</v>
      </c>
      <c r="B9" s="36" t="s">
        <v>44</v>
      </c>
      <c r="C9" s="36" t="s">
        <v>47</v>
      </c>
      <c r="D9" s="36" t="s">
        <v>49</v>
      </c>
      <c r="E9" s="36" t="s">
        <v>42</v>
      </c>
      <c r="F9" s="37">
        <f t="shared" si="0"/>
        <v>1925</v>
      </c>
      <c r="G9" s="37">
        <f t="shared" si="0"/>
        <v>1949</v>
      </c>
    </row>
    <row r="10" spans="1:7" ht="57.75">
      <c r="A10" s="70" t="s">
        <v>48</v>
      </c>
      <c r="B10" s="36" t="s">
        <v>44</v>
      </c>
      <c r="C10" s="36" t="s">
        <v>47</v>
      </c>
      <c r="D10" s="36" t="s">
        <v>50</v>
      </c>
      <c r="E10" s="36" t="s">
        <v>42</v>
      </c>
      <c r="F10" s="37">
        <f t="shared" si="0"/>
        <v>1925</v>
      </c>
      <c r="G10" s="37">
        <f t="shared" si="0"/>
        <v>1949</v>
      </c>
    </row>
    <row r="11" spans="1:7" ht="72">
      <c r="A11" s="35" t="s">
        <v>51</v>
      </c>
      <c r="B11" s="36" t="s">
        <v>44</v>
      </c>
      <c r="C11" s="36" t="s">
        <v>47</v>
      </c>
      <c r="D11" s="36" t="s">
        <v>50</v>
      </c>
      <c r="E11" s="32" t="s">
        <v>52</v>
      </c>
      <c r="F11" s="37">
        <v>1925</v>
      </c>
      <c r="G11" s="37">
        <v>1949</v>
      </c>
    </row>
    <row r="12" spans="1:7" ht="60">
      <c r="A12" s="78" t="s">
        <v>53</v>
      </c>
      <c r="B12" s="43" t="s">
        <v>44</v>
      </c>
      <c r="C12" s="43" t="s">
        <v>54</v>
      </c>
      <c r="D12" s="43" t="s">
        <v>45</v>
      </c>
      <c r="E12" s="43" t="s">
        <v>42</v>
      </c>
      <c r="F12" s="86">
        <f>F13</f>
        <v>10172</v>
      </c>
      <c r="G12" s="86">
        <f>G13</f>
        <v>10243</v>
      </c>
    </row>
    <row r="13" spans="1:7" ht="57.75">
      <c r="A13" s="70" t="s">
        <v>48</v>
      </c>
      <c r="B13" s="36" t="s">
        <v>44</v>
      </c>
      <c r="C13" s="36" t="s">
        <v>54</v>
      </c>
      <c r="D13" s="36" t="s">
        <v>49</v>
      </c>
      <c r="E13" s="36" t="s">
        <v>42</v>
      </c>
      <c r="F13" s="37">
        <f>F14</f>
        <v>10172</v>
      </c>
      <c r="G13" s="37">
        <f>G14</f>
        <v>10243</v>
      </c>
    </row>
    <row r="14" spans="1:7">
      <c r="A14" s="88" t="s">
        <v>55</v>
      </c>
      <c r="B14" s="36" t="s">
        <v>44</v>
      </c>
      <c r="C14" s="36" t="s">
        <v>54</v>
      </c>
      <c r="D14" s="36" t="s">
        <v>56</v>
      </c>
      <c r="E14" s="36" t="s">
        <v>42</v>
      </c>
      <c r="F14" s="37">
        <f>F15+F16+F17</f>
        <v>10172</v>
      </c>
      <c r="G14" s="37">
        <f>G15+G16+G17</f>
        <v>10243</v>
      </c>
    </row>
    <row r="15" spans="1:7" ht="72">
      <c r="A15" s="35" t="s">
        <v>51</v>
      </c>
      <c r="B15" s="36" t="s">
        <v>44</v>
      </c>
      <c r="C15" s="36" t="s">
        <v>54</v>
      </c>
      <c r="D15" s="36" t="s">
        <v>56</v>
      </c>
      <c r="E15" s="32" t="s">
        <v>52</v>
      </c>
      <c r="F15" s="37">
        <v>4640</v>
      </c>
      <c r="G15" s="37">
        <v>4690</v>
      </c>
    </row>
    <row r="16" spans="1:7" ht="29.25">
      <c r="A16" s="35" t="s">
        <v>57</v>
      </c>
      <c r="B16" s="36" t="s">
        <v>44</v>
      </c>
      <c r="C16" s="36" t="s">
        <v>54</v>
      </c>
      <c r="D16" s="36" t="s">
        <v>56</v>
      </c>
      <c r="E16" s="32" t="s">
        <v>58</v>
      </c>
      <c r="F16" s="37">
        <v>5352</v>
      </c>
      <c r="G16" s="37">
        <f>5553-180</f>
        <v>5373</v>
      </c>
    </row>
    <row r="17" spans="1:7">
      <c r="A17" s="35" t="s">
        <v>59</v>
      </c>
      <c r="B17" s="36" t="s">
        <v>44</v>
      </c>
      <c r="C17" s="36" t="s">
        <v>54</v>
      </c>
      <c r="D17" s="36" t="s">
        <v>56</v>
      </c>
      <c r="E17" s="32" t="s">
        <v>60</v>
      </c>
      <c r="F17" s="37">
        <v>180</v>
      </c>
      <c r="G17" s="37">
        <v>180</v>
      </c>
    </row>
    <row r="18" spans="1:7" ht="60">
      <c r="A18" s="78" t="s">
        <v>67</v>
      </c>
      <c r="B18" s="44" t="s">
        <v>44</v>
      </c>
      <c r="C18" s="44" t="s">
        <v>68</v>
      </c>
      <c r="D18" s="43" t="s">
        <v>45</v>
      </c>
      <c r="E18" s="45" t="s">
        <v>42</v>
      </c>
      <c r="F18" s="79">
        <f>F19+F24</f>
        <v>12408.8</v>
      </c>
      <c r="G18" s="79">
        <f>G19+G24</f>
        <v>12696.2</v>
      </c>
    </row>
    <row r="19" spans="1:7" ht="57.75">
      <c r="A19" s="70" t="s">
        <v>48</v>
      </c>
      <c r="B19" s="33" t="s">
        <v>44</v>
      </c>
      <c r="C19" s="33" t="s">
        <v>68</v>
      </c>
      <c r="D19" s="34" t="s">
        <v>49</v>
      </c>
      <c r="E19" s="34" t="s">
        <v>42</v>
      </c>
      <c r="F19" s="46">
        <f>F20</f>
        <v>11875.4</v>
      </c>
      <c r="G19" s="46">
        <f>G20</f>
        <v>12137</v>
      </c>
    </row>
    <row r="20" spans="1:7">
      <c r="A20" s="73" t="s">
        <v>69</v>
      </c>
      <c r="B20" s="33" t="s">
        <v>44</v>
      </c>
      <c r="C20" s="33" t="s">
        <v>68</v>
      </c>
      <c r="D20" s="34" t="s">
        <v>56</v>
      </c>
      <c r="E20" s="34" t="s">
        <v>42</v>
      </c>
      <c r="F20" s="46">
        <f>F21+F22+F23</f>
        <v>11875.4</v>
      </c>
      <c r="G20" s="46">
        <f>G21+G22+G23</f>
        <v>12137</v>
      </c>
    </row>
    <row r="21" spans="1:7" ht="28.5">
      <c r="A21" s="73" t="s">
        <v>70</v>
      </c>
      <c r="B21" s="33" t="s">
        <v>44</v>
      </c>
      <c r="C21" s="33" t="s">
        <v>68</v>
      </c>
      <c r="D21" s="34" t="s">
        <v>56</v>
      </c>
      <c r="E21" s="31" t="s">
        <v>52</v>
      </c>
      <c r="F21" s="51">
        <f>Лист3!G26+Лист3!G119+Лист3!G181+Лист3!G210</f>
        <v>7068.4</v>
      </c>
      <c r="G21" s="51">
        <f>Лист3!H26+Лист3!H119+Лист3!H181+Лист3!H210</f>
        <v>7159</v>
      </c>
    </row>
    <row r="22" spans="1:7" ht="29.25">
      <c r="A22" s="35" t="s">
        <v>57</v>
      </c>
      <c r="B22" s="33" t="s">
        <v>44</v>
      </c>
      <c r="C22" s="33" t="s">
        <v>68</v>
      </c>
      <c r="D22" s="34" t="s">
        <v>56</v>
      </c>
      <c r="E22" s="31" t="s">
        <v>58</v>
      </c>
      <c r="F22" s="51">
        <f>Лист3!G27+Лист3!G120+Лист3!G182+Лист3!G211</f>
        <v>4757</v>
      </c>
      <c r="G22" s="51">
        <f>Лист3!H27+Лист3!H120+Лист3!H182+Лист3!H211</f>
        <v>4928</v>
      </c>
    </row>
    <row r="23" spans="1:7">
      <c r="A23" s="35" t="s">
        <v>59</v>
      </c>
      <c r="B23" s="33" t="s">
        <v>44</v>
      </c>
      <c r="C23" s="33" t="s">
        <v>68</v>
      </c>
      <c r="D23" s="34" t="s">
        <v>56</v>
      </c>
      <c r="E23" s="31" t="s">
        <v>60</v>
      </c>
      <c r="F23" s="51">
        <f>Лист3!G28</f>
        <v>50</v>
      </c>
      <c r="G23" s="51">
        <f>Лист3!H28</f>
        <v>50</v>
      </c>
    </row>
    <row r="24" spans="1:7">
      <c r="A24" s="52" t="s">
        <v>81</v>
      </c>
      <c r="B24" s="34" t="s">
        <v>44</v>
      </c>
      <c r="C24" s="34" t="s">
        <v>68</v>
      </c>
      <c r="D24" s="34" t="s">
        <v>82</v>
      </c>
      <c r="E24" s="31" t="s">
        <v>42</v>
      </c>
      <c r="F24" s="51">
        <f>F25+F27</f>
        <v>533.4</v>
      </c>
      <c r="G24" s="51">
        <f>G25+G27</f>
        <v>559.20000000000005</v>
      </c>
    </row>
    <row r="25" spans="1:7" ht="42.75">
      <c r="A25" s="73" t="s">
        <v>197</v>
      </c>
      <c r="B25" s="31" t="s">
        <v>44</v>
      </c>
      <c r="C25" s="31" t="s">
        <v>68</v>
      </c>
      <c r="D25" s="31" t="s">
        <v>198</v>
      </c>
      <c r="E25" s="31" t="s">
        <v>42</v>
      </c>
      <c r="F25" s="46">
        <v>266.7</v>
      </c>
      <c r="G25" s="46">
        <v>279.60000000000002</v>
      </c>
    </row>
    <row r="26" spans="1:7" ht="72">
      <c r="A26" s="35" t="s">
        <v>51</v>
      </c>
      <c r="B26" s="31" t="s">
        <v>44</v>
      </c>
      <c r="C26" s="31" t="s">
        <v>68</v>
      </c>
      <c r="D26" s="34" t="s">
        <v>198</v>
      </c>
      <c r="E26" s="31" t="s">
        <v>52</v>
      </c>
      <c r="F26" s="46">
        <v>266.7</v>
      </c>
      <c r="G26" s="46">
        <f>279.6</f>
        <v>279.60000000000002</v>
      </c>
    </row>
    <row r="27" spans="1:7" ht="28.5">
      <c r="A27" s="52" t="s">
        <v>126</v>
      </c>
      <c r="B27" s="31" t="s">
        <v>44</v>
      </c>
      <c r="C27" s="31" t="s">
        <v>68</v>
      </c>
      <c r="D27" s="34" t="s">
        <v>127</v>
      </c>
      <c r="E27" s="34" t="s">
        <v>42</v>
      </c>
      <c r="F27" s="46">
        <f>F28</f>
        <v>266.7</v>
      </c>
      <c r="G27" s="46">
        <v>279.60000000000002</v>
      </c>
    </row>
    <row r="28" spans="1:7" ht="72">
      <c r="A28" s="35" t="s">
        <v>51</v>
      </c>
      <c r="B28" s="31" t="s">
        <v>44</v>
      </c>
      <c r="C28" s="31" t="s">
        <v>68</v>
      </c>
      <c r="D28" s="34" t="s">
        <v>127</v>
      </c>
      <c r="E28" s="31" t="s">
        <v>52</v>
      </c>
      <c r="F28" s="46">
        <v>266.7</v>
      </c>
      <c r="G28" s="46">
        <v>279.60000000000002</v>
      </c>
    </row>
    <row r="29" spans="1:7">
      <c r="A29" s="212" t="s">
        <v>258</v>
      </c>
      <c r="B29" s="41" t="s">
        <v>44</v>
      </c>
      <c r="C29" s="41" t="s">
        <v>233</v>
      </c>
      <c r="D29" s="45" t="s">
        <v>45</v>
      </c>
      <c r="E29" s="41" t="s">
        <v>42</v>
      </c>
      <c r="F29" s="79"/>
      <c r="G29" s="79">
        <f>G30</f>
        <v>12.7</v>
      </c>
    </row>
    <row r="30" spans="1:7" ht="29.25">
      <c r="A30" s="137" t="s">
        <v>92</v>
      </c>
      <c r="B30" s="31" t="s">
        <v>44</v>
      </c>
      <c r="C30" s="31" t="s">
        <v>233</v>
      </c>
      <c r="D30" s="34" t="s">
        <v>93</v>
      </c>
      <c r="E30" s="31" t="s">
        <v>42</v>
      </c>
      <c r="F30" s="46"/>
      <c r="G30" s="46">
        <f>G31</f>
        <v>12.7</v>
      </c>
    </row>
    <row r="31" spans="1:7" ht="43.5">
      <c r="A31" s="35" t="s">
        <v>260</v>
      </c>
      <c r="B31" s="31" t="s">
        <v>44</v>
      </c>
      <c r="C31" s="31" t="s">
        <v>233</v>
      </c>
      <c r="D31" s="34" t="s">
        <v>259</v>
      </c>
      <c r="E31" s="31" t="s">
        <v>42</v>
      </c>
      <c r="F31" s="46"/>
      <c r="G31" s="46">
        <f>G32</f>
        <v>12.7</v>
      </c>
    </row>
    <row r="32" spans="1:7" ht="29.25">
      <c r="A32" s="35" t="s">
        <v>57</v>
      </c>
      <c r="B32" s="31" t="s">
        <v>44</v>
      </c>
      <c r="C32" s="31" t="s">
        <v>233</v>
      </c>
      <c r="D32" s="34" t="s">
        <v>259</v>
      </c>
      <c r="E32" s="31" t="s">
        <v>58</v>
      </c>
      <c r="F32" s="46"/>
      <c r="G32" s="46">
        <v>12.7</v>
      </c>
    </row>
    <row r="33" spans="1:7" ht="45">
      <c r="A33" s="89" t="s">
        <v>114</v>
      </c>
      <c r="B33" s="44" t="s">
        <v>44</v>
      </c>
      <c r="C33" s="44" t="s">
        <v>98</v>
      </c>
      <c r="D33" s="45" t="s">
        <v>45</v>
      </c>
      <c r="E33" s="45" t="s">
        <v>42</v>
      </c>
      <c r="F33" s="79">
        <f>F34</f>
        <v>6054.5</v>
      </c>
      <c r="G33" s="79">
        <f>G34</f>
        <v>5868.5</v>
      </c>
    </row>
    <row r="34" spans="1:7" ht="57.75">
      <c r="A34" s="70" t="s">
        <v>48</v>
      </c>
      <c r="B34" s="33" t="s">
        <v>44</v>
      </c>
      <c r="C34" s="33" t="s">
        <v>98</v>
      </c>
      <c r="D34" s="34" t="s">
        <v>49</v>
      </c>
      <c r="E34" s="34" t="s">
        <v>42</v>
      </c>
      <c r="F34" s="46">
        <f>F35</f>
        <v>6054.5</v>
      </c>
      <c r="G34" s="46">
        <f>G35</f>
        <v>5868.5</v>
      </c>
    </row>
    <row r="35" spans="1:7">
      <c r="A35" s="73" t="s">
        <v>69</v>
      </c>
      <c r="B35" s="33" t="s">
        <v>44</v>
      </c>
      <c r="C35" s="33" t="s">
        <v>98</v>
      </c>
      <c r="D35" s="34" t="s">
        <v>56</v>
      </c>
      <c r="E35" s="34" t="s">
        <v>42</v>
      </c>
      <c r="F35" s="46">
        <f>F36+F37+F38</f>
        <v>6054.5</v>
      </c>
      <c r="G35" s="46">
        <f>G36+G37+G38</f>
        <v>5868.5</v>
      </c>
    </row>
    <row r="36" spans="1:7" ht="72">
      <c r="A36" s="35" t="s">
        <v>51</v>
      </c>
      <c r="B36" s="33" t="s">
        <v>44</v>
      </c>
      <c r="C36" s="33" t="s">
        <v>98</v>
      </c>
      <c r="D36" s="34" t="s">
        <v>56</v>
      </c>
      <c r="E36" s="31" t="s">
        <v>52</v>
      </c>
      <c r="F36" s="46">
        <f>Лист3!G96+Лист3!G240</f>
        <v>4375</v>
      </c>
      <c r="G36" s="46">
        <f>Лист3!H96+Лист3!H240</f>
        <v>4229</v>
      </c>
    </row>
    <row r="37" spans="1:7" ht="29.25">
      <c r="A37" s="35" t="s">
        <v>57</v>
      </c>
      <c r="B37" s="33" t="s">
        <v>44</v>
      </c>
      <c r="C37" s="33" t="s">
        <v>98</v>
      </c>
      <c r="D37" s="34" t="s">
        <v>56</v>
      </c>
      <c r="E37" s="31" t="s">
        <v>58</v>
      </c>
      <c r="F37" s="46">
        <f>Лист3!G97+Лист3!G241</f>
        <v>1671</v>
      </c>
      <c r="G37" s="46">
        <f>Лист3!H97+Лист3!H241</f>
        <v>1631</v>
      </c>
    </row>
    <row r="38" spans="1:7">
      <c r="A38" s="35" t="s">
        <v>59</v>
      </c>
      <c r="B38" s="33" t="s">
        <v>44</v>
      </c>
      <c r="C38" s="33" t="s">
        <v>98</v>
      </c>
      <c r="D38" s="34" t="s">
        <v>56</v>
      </c>
      <c r="E38" s="31" t="s">
        <v>60</v>
      </c>
      <c r="F38" s="46">
        <f>Лист3!G98</f>
        <v>8.5</v>
      </c>
      <c r="G38" s="46">
        <f>Лист3!H98</f>
        <v>8.5</v>
      </c>
    </row>
    <row r="39" spans="1:7">
      <c r="A39" s="89" t="s">
        <v>71</v>
      </c>
      <c r="B39" s="44" t="s">
        <v>44</v>
      </c>
      <c r="C39" s="44" t="s">
        <v>72</v>
      </c>
      <c r="D39" s="45" t="s">
        <v>45</v>
      </c>
      <c r="E39" s="45" t="s">
        <v>42</v>
      </c>
      <c r="F39" s="79">
        <f t="shared" ref="F39:G42" si="1">F40</f>
        <v>3838.6</v>
      </c>
      <c r="G39" s="79">
        <f t="shared" si="1"/>
        <v>1838.6</v>
      </c>
    </row>
    <row r="40" spans="1:7">
      <c r="A40" s="73" t="s">
        <v>71</v>
      </c>
      <c r="B40" s="33" t="s">
        <v>44</v>
      </c>
      <c r="C40" s="33" t="s">
        <v>72</v>
      </c>
      <c r="D40" s="34" t="s">
        <v>73</v>
      </c>
      <c r="E40" s="34" t="s">
        <v>42</v>
      </c>
      <c r="F40" s="46">
        <f t="shared" si="1"/>
        <v>3838.6</v>
      </c>
      <c r="G40" s="46">
        <f t="shared" si="1"/>
        <v>1838.6</v>
      </c>
    </row>
    <row r="41" spans="1:7">
      <c r="A41" s="73" t="s">
        <v>74</v>
      </c>
      <c r="B41" s="33" t="s">
        <v>44</v>
      </c>
      <c r="C41" s="33" t="s">
        <v>72</v>
      </c>
      <c r="D41" s="34" t="s">
        <v>73</v>
      </c>
      <c r="E41" s="34" t="s">
        <v>42</v>
      </c>
      <c r="F41" s="46">
        <f t="shared" si="1"/>
        <v>3838.6</v>
      </c>
      <c r="G41" s="46">
        <f t="shared" si="1"/>
        <v>1838.6</v>
      </c>
    </row>
    <row r="42" spans="1:7">
      <c r="A42" s="70" t="s">
        <v>75</v>
      </c>
      <c r="B42" s="33" t="s">
        <v>44</v>
      </c>
      <c r="C42" s="33" t="s">
        <v>72</v>
      </c>
      <c r="D42" s="34" t="s">
        <v>76</v>
      </c>
      <c r="E42" s="34" t="s">
        <v>42</v>
      </c>
      <c r="F42" s="46">
        <f t="shared" si="1"/>
        <v>3838.6</v>
      </c>
      <c r="G42" s="46">
        <f t="shared" si="1"/>
        <v>1838.6</v>
      </c>
    </row>
    <row r="43" spans="1:7">
      <c r="A43" s="35" t="s">
        <v>59</v>
      </c>
      <c r="B43" s="33" t="s">
        <v>44</v>
      </c>
      <c r="C43" s="33" t="s">
        <v>72</v>
      </c>
      <c r="D43" s="34" t="s">
        <v>76</v>
      </c>
      <c r="E43" s="31" t="s">
        <v>60</v>
      </c>
      <c r="F43" s="46">
        <v>3838.6</v>
      </c>
      <c r="G43" s="46">
        <v>1838.6</v>
      </c>
    </row>
    <row r="44" spans="1:7">
      <c r="A44" s="89" t="s">
        <v>61</v>
      </c>
      <c r="B44" s="44" t="s">
        <v>44</v>
      </c>
      <c r="C44" s="44" t="s">
        <v>62</v>
      </c>
      <c r="D44" s="45" t="s">
        <v>45</v>
      </c>
      <c r="E44" s="45" t="s">
        <v>42</v>
      </c>
      <c r="F44" s="79">
        <f>F52+F61+F64+F67+F45</f>
        <v>6584.58</v>
      </c>
      <c r="G44" s="79">
        <f>G52+G61+G64+G67+G45</f>
        <v>7501.9099999999989</v>
      </c>
    </row>
    <row r="45" spans="1:7" ht="30">
      <c r="A45" s="139" t="s">
        <v>92</v>
      </c>
      <c r="B45" s="44" t="s">
        <v>44</v>
      </c>
      <c r="C45" s="44" t="s">
        <v>62</v>
      </c>
      <c r="D45" s="45" t="s">
        <v>93</v>
      </c>
      <c r="E45" s="45" t="s">
        <v>42</v>
      </c>
      <c r="F45" s="164">
        <f t="shared" ref="F45" si="2">F48</f>
        <v>821.49999999999989</v>
      </c>
      <c r="G45" s="164">
        <f>G48+G46</f>
        <v>1528.8999999999999</v>
      </c>
    </row>
    <row r="46" spans="1:7" ht="29.25">
      <c r="A46" s="137" t="s">
        <v>256</v>
      </c>
      <c r="B46" s="33" t="s">
        <v>44</v>
      </c>
      <c r="C46" s="33" t="s">
        <v>62</v>
      </c>
      <c r="D46" s="34" t="s">
        <v>257</v>
      </c>
      <c r="E46" s="34" t="s">
        <v>42</v>
      </c>
      <c r="F46" s="164"/>
      <c r="G46" s="164">
        <f>G47</f>
        <v>707.4</v>
      </c>
    </row>
    <row r="47" spans="1:7" ht="29.25">
      <c r="A47" s="138" t="s">
        <v>57</v>
      </c>
      <c r="B47" s="33" t="s">
        <v>44</v>
      </c>
      <c r="C47" s="33" t="s">
        <v>62</v>
      </c>
      <c r="D47" s="34" t="s">
        <v>257</v>
      </c>
      <c r="E47" s="34" t="s">
        <v>58</v>
      </c>
      <c r="F47" s="164"/>
      <c r="G47" s="165">
        <v>707.4</v>
      </c>
    </row>
    <row r="48" spans="1:7" ht="29.25">
      <c r="A48" s="137" t="s">
        <v>254</v>
      </c>
      <c r="B48" s="33" t="s">
        <v>44</v>
      </c>
      <c r="C48" s="38" t="s">
        <v>62</v>
      </c>
      <c r="D48" s="42" t="s">
        <v>255</v>
      </c>
      <c r="E48" s="34" t="s">
        <v>42</v>
      </c>
      <c r="F48" s="165">
        <f>F49+F50+F51</f>
        <v>821.49999999999989</v>
      </c>
      <c r="G48" s="165">
        <f>G49+G50+G51</f>
        <v>821.49999999999989</v>
      </c>
    </row>
    <row r="49" spans="1:7" ht="72">
      <c r="A49" s="162" t="s">
        <v>51</v>
      </c>
      <c r="B49" s="33" t="s">
        <v>44</v>
      </c>
      <c r="C49" s="38" t="s">
        <v>62</v>
      </c>
      <c r="D49" s="42" t="s">
        <v>255</v>
      </c>
      <c r="E49" s="31" t="s">
        <v>52</v>
      </c>
      <c r="F49" s="165">
        <v>691.8</v>
      </c>
      <c r="G49" s="201">
        <v>691.8</v>
      </c>
    </row>
    <row r="50" spans="1:7" ht="29.25">
      <c r="A50" s="138" t="s">
        <v>57</v>
      </c>
      <c r="B50" s="33" t="s">
        <v>44</v>
      </c>
      <c r="C50" s="38" t="s">
        <v>62</v>
      </c>
      <c r="D50" s="42" t="s">
        <v>255</v>
      </c>
      <c r="E50" s="31" t="s">
        <v>58</v>
      </c>
      <c r="F50" s="165">
        <v>86.4</v>
      </c>
      <c r="G50" s="201">
        <v>86.4</v>
      </c>
    </row>
    <row r="51" spans="1:7">
      <c r="A51" s="133" t="s">
        <v>81</v>
      </c>
      <c r="B51" s="33" t="s">
        <v>44</v>
      </c>
      <c r="C51" s="38" t="s">
        <v>62</v>
      </c>
      <c r="D51" s="42" t="s">
        <v>255</v>
      </c>
      <c r="E51" s="31" t="s">
        <v>96</v>
      </c>
      <c r="F51" s="46">
        <v>43.3</v>
      </c>
      <c r="G51" s="201">
        <v>43.3</v>
      </c>
    </row>
    <row r="52" spans="1:7" ht="57.75">
      <c r="A52" s="70" t="s">
        <v>48</v>
      </c>
      <c r="B52" s="33" t="s">
        <v>44</v>
      </c>
      <c r="C52" s="33" t="s">
        <v>62</v>
      </c>
      <c r="D52" s="34" t="s">
        <v>49</v>
      </c>
      <c r="E52" s="34" t="s">
        <v>42</v>
      </c>
      <c r="F52" s="46">
        <f>F53+F56+F58</f>
        <v>3198.6</v>
      </c>
      <c r="G52" s="46">
        <f>G53+G56+G58</f>
        <v>3262.6</v>
      </c>
    </row>
    <row r="53" spans="1:7">
      <c r="A53" s="73" t="s">
        <v>69</v>
      </c>
      <c r="B53" s="33" t="s">
        <v>44</v>
      </c>
      <c r="C53" s="33" t="s">
        <v>62</v>
      </c>
      <c r="D53" s="34" t="s">
        <v>56</v>
      </c>
      <c r="E53" s="34" t="s">
        <v>42</v>
      </c>
      <c r="F53" s="46">
        <f>F54+F55</f>
        <v>2696</v>
      </c>
      <c r="G53" s="46">
        <f>G54+G55</f>
        <v>2758</v>
      </c>
    </row>
    <row r="54" spans="1:7" ht="72">
      <c r="A54" s="35" t="s">
        <v>51</v>
      </c>
      <c r="B54" s="33" t="s">
        <v>44</v>
      </c>
      <c r="C54" s="38" t="s">
        <v>62</v>
      </c>
      <c r="D54" s="34" t="s">
        <v>56</v>
      </c>
      <c r="E54" s="31" t="s">
        <v>52</v>
      </c>
      <c r="F54" s="46">
        <v>1434</v>
      </c>
      <c r="G54" s="46">
        <v>1452</v>
      </c>
    </row>
    <row r="55" spans="1:7" ht="29.25">
      <c r="A55" s="35" t="s">
        <v>57</v>
      </c>
      <c r="B55" s="33" t="s">
        <v>44</v>
      </c>
      <c r="C55" s="38" t="s">
        <v>62</v>
      </c>
      <c r="D55" s="34" t="s">
        <v>56</v>
      </c>
      <c r="E55" s="31" t="s">
        <v>58</v>
      </c>
      <c r="F55" s="46">
        <v>1262</v>
      </c>
      <c r="G55" s="46">
        <v>1306</v>
      </c>
    </row>
    <row r="56" spans="1:7" ht="29.25">
      <c r="A56" s="71" t="s">
        <v>63</v>
      </c>
      <c r="B56" s="31" t="s">
        <v>44</v>
      </c>
      <c r="C56" s="31" t="s">
        <v>62</v>
      </c>
      <c r="D56" s="32" t="s">
        <v>64</v>
      </c>
      <c r="E56" s="32" t="s">
        <v>42</v>
      </c>
      <c r="F56" s="51">
        <f>F57</f>
        <v>293</v>
      </c>
      <c r="G56" s="51">
        <f>G57</f>
        <v>293</v>
      </c>
    </row>
    <row r="57" spans="1:7">
      <c r="A57" s="35" t="s">
        <v>59</v>
      </c>
      <c r="B57" s="31" t="s">
        <v>44</v>
      </c>
      <c r="C57" s="31" t="s">
        <v>62</v>
      </c>
      <c r="D57" s="32" t="s">
        <v>64</v>
      </c>
      <c r="E57" s="32" t="s">
        <v>60</v>
      </c>
      <c r="F57" s="51">
        <f>253+11+12+5+12</f>
        <v>293</v>
      </c>
      <c r="G57" s="51">
        <f>253+11+12+5+12</f>
        <v>293</v>
      </c>
    </row>
    <row r="58" spans="1:7" ht="28.5">
      <c r="A58" s="73" t="s">
        <v>79</v>
      </c>
      <c r="B58" s="33" t="s">
        <v>44</v>
      </c>
      <c r="C58" s="33" t="s">
        <v>62</v>
      </c>
      <c r="D58" s="34" t="s">
        <v>199</v>
      </c>
      <c r="E58" s="34" t="s">
        <v>42</v>
      </c>
      <c r="F58" s="46">
        <f>F59+F60</f>
        <v>209.6</v>
      </c>
      <c r="G58" s="46">
        <f>G59+G60</f>
        <v>211.6</v>
      </c>
    </row>
    <row r="59" spans="1:7" ht="72">
      <c r="A59" s="35" t="s">
        <v>51</v>
      </c>
      <c r="B59" s="33" t="s">
        <v>44</v>
      </c>
      <c r="C59" s="33" t="s">
        <v>62</v>
      </c>
      <c r="D59" s="34" t="s">
        <v>199</v>
      </c>
      <c r="E59" s="31" t="s">
        <v>52</v>
      </c>
      <c r="F59" s="46">
        <v>204</v>
      </c>
      <c r="G59" s="46">
        <v>206</v>
      </c>
    </row>
    <row r="60" spans="1:7" ht="29.25">
      <c r="A60" s="35" t="s">
        <v>57</v>
      </c>
      <c r="B60" s="33" t="s">
        <v>44</v>
      </c>
      <c r="C60" s="33" t="s">
        <v>62</v>
      </c>
      <c r="D60" s="34" t="s">
        <v>199</v>
      </c>
      <c r="E60" s="31" t="s">
        <v>58</v>
      </c>
      <c r="F60" s="46">
        <v>5.6</v>
      </c>
      <c r="G60" s="46">
        <v>5.6</v>
      </c>
    </row>
    <row r="61" spans="1:7">
      <c r="A61" s="35"/>
      <c r="B61" s="36" t="s">
        <v>44</v>
      </c>
      <c r="C61" s="33" t="s">
        <v>62</v>
      </c>
      <c r="D61" s="36" t="s">
        <v>205</v>
      </c>
      <c r="E61" s="36" t="s">
        <v>42</v>
      </c>
      <c r="F61" s="46">
        <f>F62+F63</f>
        <v>1201</v>
      </c>
      <c r="G61" s="46">
        <f>G62+G63</f>
        <v>1233.8</v>
      </c>
    </row>
    <row r="62" spans="1:7" ht="72">
      <c r="A62" s="35" t="s">
        <v>51</v>
      </c>
      <c r="B62" s="36" t="s">
        <v>44</v>
      </c>
      <c r="C62" s="33" t="s">
        <v>62</v>
      </c>
      <c r="D62" s="36" t="s">
        <v>205</v>
      </c>
      <c r="E62" s="31" t="s">
        <v>52</v>
      </c>
      <c r="F62" s="46">
        <v>1103</v>
      </c>
      <c r="G62" s="46">
        <v>1116</v>
      </c>
    </row>
    <row r="63" spans="1:7" ht="29.25">
      <c r="A63" s="35" t="s">
        <v>57</v>
      </c>
      <c r="B63" s="36" t="s">
        <v>44</v>
      </c>
      <c r="C63" s="33" t="s">
        <v>62</v>
      </c>
      <c r="D63" s="36" t="s">
        <v>205</v>
      </c>
      <c r="E63" s="31" t="s">
        <v>58</v>
      </c>
      <c r="F63" s="46">
        <v>98</v>
      </c>
      <c r="G63" s="46">
        <v>117.8</v>
      </c>
    </row>
    <row r="64" spans="1:7" ht="29.25">
      <c r="A64" s="35" t="s">
        <v>77</v>
      </c>
      <c r="B64" s="36" t="s">
        <v>44</v>
      </c>
      <c r="C64" s="33" t="s">
        <v>62</v>
      </c>
      <c r="D64" s="32" t="s">
        <v>78</v>
      </c>
      <c r="E64" s="36" t="s">
        <v>42</v>
      </c>
      <c r="F64" s="37">
        <f>F65</f>
        <v>286</v>
      </c>
      <c r="G64" s="37">
        <f>G65</f>
        <v>351</v>
      </c>
    </row>
    <row r="65" spans="1:7" ht="29.25">
      <c r="A65" s="35" t="s">
        <v>79</v>
      </c>
      <c r="B65" s="36" t="s">
        <v>44</v>
      </c>
      <c r="C65" s="33" t="s">
        <v>62</v>
      </c>
      <c r="D65" s="32" t="s">
        <v>80</v>
      </c>
      <c r="E65" s="32" t="s">
        <v>42</v>
      </c>
      <c r="F65" s="37">
        <f>F66</f>
        <v>286</v>
      </c>
      <c r="G65" s="37">
        <f>G66</f>
        <v>351</v>
      </c>
    </row>
    <row r="66" spans="1:7" ht="72">
      <c r="A66" s="35" t="s">
        <v>51</v>
      </c>
      <c r="B66" s="36" t="s">
        <v>44</v>
      </c>
      <c r="C66" s="33" t="s">
        <v>62</v>
      </c>
      <c r="D66" s="32" t="s">
        <v>80</v>
      </c>
      <c r="E66" s="31" t="s">
        <v>52</v>
      </c>
      <c r="F66" s="37">
        <v>286</v>
      </c>
      <c r="G66" s="37">
        <v>351</v>
      </c>
    </row>
    <row r="67" spans="1:7">
      <c r="A67" s="52" t="s">
        <v>81</v>
      </c>
      <c r="B67" s="34" t="s">
        <v>44</v>
      </c>
      <c r="C67" s="34" t="s">
        <v>62</v>
      </c>
      <c r="D67" s="34" t="s">
        <v>82</v>
      </c>
      <c r="E67" s="31" t="s">
        <v>42</v>
      </c>
      <c r="F67" s="46">
        <f>F68+F71+F74+F77+F80</f>
        <v>1077.48</v>
      </c>
      <c r="G67" s="46">
        <f>G68+G71+G74+G77+G80</f>
        <v>1125.6099999999999</v>
      </c>
    </row>
    <row r="68" spans="1:7" ht="43.5">
      <c r="A68" s="35" t="s">
        <v>83</v>
      </c>
      <c r="B68" s="34" t="s">
        <v>44</v>
      </c>
      <c r="C68" s="34" t="s">
        <v>62</v>
      </c>
      <c r="D68" s="34" t="s">
        <v>84</v>
      </c>
      <c r="E68" s="34" t="s">
        <v>42</v>
      </c>
      <c r="F68" s="46">
        <f>F69+F70</f>
        <v>284.3</v>
      </c>
      <c r="G68" s="46">
        <f>G69+G70</f>
        <v>297.8</v>
      </c>
    </row>
    <row r="69" spans="1:7" ht="72">
      <c r="A69" s="35" t="s">
        <v>51</v>
      </c>
      <c r="B69" s="34" t="s">
        <v>44</v>
      </c>
      <c r="C69" s="34" t="s">
        <v>62</v>
      </c>
      <c r="D69" s="34" t="s">
        <v>84</v>
      </c>
      <c r="E69" s="31" t="s">
        <v>52</v>
      </c>
      <c r="F69" s="46">
        <f>270.8+12.8</f>
        <v>283.60000000000002</v>
      </c>
      <c r="G69" s="46">
        <v>297.10000000000002</v>
      </c>
    </row>
    <row r="70" spans="1:7" ht="29.25">
      <c r="A70" s="35" t="s">
        <v>57</v>
      </c>
      <c r="B70" s="34" t="s">
        <v>44</v>
      </c>
      <c r="C70" s="34" t="s">
        <v>62</v>
      </c>
      <c r="D70" s="34" t="s">
        <v>84</v>
      </c>
      <c r="E70" s="31" t="s">
        <v>58</v>
      </c>
      <c r="F70" s="46">
        <v>0.7</v>
      </c>
      <c r="G70" s="46">
        <v>0.7</v>
      </c>
    </row>
    <row r="71" spans="1:7" ht="43.5">
      <c r="A71" s="35" t="s">
        <v>85</v>
      </c>
      <c r="B71" s="34" t="s">
        <v>44</v>
      </c>
      <c r="C71" s="34" t="s">
        <v>62</v>
      </c>
      <c r="D71" s="34" t="s">
        <v>86</v>
      </c>
      <c r="E71" s="34" t="s">
        <v>42</v>
      </c>
      <c r="F71" s="46">
        <f>F72+F73</f>
        <v>254.79999999999998</v>
      </c>
      <c r="G71" s="46">
        <f>G72+G73</f>
        <v>266.2</v>
      </c>
    </row>
    <row r="72" spans="1:7" ht="72">
      <c r="A72" s="35" t="s">
        <v>51</v>
      </c>
      <c r="B72" s="34" t="s">
        <v>44</v>
      </c>
      <c r="C72" s="34" t="s">
        <v>62</v>
      </c>
      <c r="D72" s="34" t="s">
        <v>86</v>
      </c>
      <c r="E72" s="31" t="s">
        <v>52</v>
      </c>
      <c r="F72" s="46">
        <f>10.9+243.2</f>
        <v>254.1</v>
      </c>
      <c r="G72" s="46">
        <v>265.5</v>
      </c>
    </row>
    <row r="73" spans="1:7" ht="29.25">
      <c r="A73" s="35" t="s">
        <v>57</v>
      </c>
      <c r="B73" s="34" t="s">
        <v>44</v>
      </c>
      <c r="C73" s="34" t="s">
        <v>62</v>
      </c>
      <c r="D73" s="34" t="s">
        <v>86</v>
      </c>
      <c r="E73" s="31" t="s">
        <v>58</v>
      </c>
      <c r="F73" s="46">
        <v>0.7</v>
      </c>
      <c r="G73" s="46">
        <v>0.7</v>
      </c>
    </row>
    <row r="74" spans="1:7" ht="43.5">
      <c r="A74" s="35" t="s">
        <v>87</v>
      </c>
      <c r="B74" s="34" t="s">
        <v>44</v>
      </c>
      <c r="C74" s="34" t="s">
        <v>62</v>
      </c>
      <c r="D74" s="34" t="s">
        <v>88</v>
      </c>
      <c r="E74" s="34" t="s">
        <v>42</v>
      </c>
      <c r="F74" s="46">
        <f>F75+F76</f>
        <v>497</v>
      </c>
      <c r="G74" s="46">
        <f>G75+G76</f>
        <v>520.19999999999993</v>
      </c>
    </row>
    <row r="75" spans="1:7" ht="72">
      <c r="A75" s="35" t="s">
        <v>51</v>
      </c>
      <c r="B75" s="34" t="s">
        <v>44</v>
      </c>
      <c r="C75" s="34" t="s">
        <v>62</v>
      </c>
      <c r="D75" s="34" t="s">
        <v>88</v>
      </c>
      <c r="E75" s="31" t="s">
        <v>52</v>
      </c>
      <c r="F75" s="46">
        <f>468.5+22.1</f>
        <v>490.6</v>
      </c>
      <c r="G75" s="46">
        <v>513.79999999999995</v>
      </c>
    </row>
    <row r="76" spans="1:7" ht="29.25">
      <c r="A76" s="35" t="s">
        <v>57</v>
      </c>
      <c r="B76" s="34" t="s">
        <v>44</v>
      </c>
      <c r="C76" s="34" t="s">
        <v>62</v>
      </c>
      <c r="D76" s="34" t="s">
        <v>88</v>
      </c>
      <c r="E76" s="31" t="s">
        <v>58</v>
      </c>
      <c r="F76" s="46">
        <v>6.4</v>
      </c>
      <c r="G76" s="46">
        <v>6.4</v>
      </c>
    </row>
    <row r="77" spans="1:7" ht="29.25">
      <c r="A77" s="35" t="s">
        <v>89</v>
      </c>
      <c r="B77" s="34" t="s">
        <v>44</v>
      </c>
      <c r="C77" s="34" t="s">
        <v>62</v>
      </c>
      <c r="D77" s="34" t="s">
        <v>90</v>
      </c>
      <c r="E77" s="34" t="s">
        <v>42</v>
      </c>
      <c r="F77" s="46">
        <f>F78+F79</f>
        <v>41</v>
      </c>
      <c r="G77" s="46">
        <f>G78+G79</f>
        <v>41</v>
      </c>
    </row>
    <row r="78" spans="1:7" ht="72">
      <c r="A78" s="35" t="s">
        <v>51</v>
      </c>
      <c r="B78" s="34" t="s">
        <v>44</v>
      </c>
      <c r="C78" s="34" t="s">
        <v>62</v>
      </c>
      <c r="D78" s="34" t="s">
        <v>90</v>
      </c>
      <c r="E78" s="31" t="s">
        <v>52</v>
      </c>
      <c r="F78" s="46">
        <v>1</v>
      </c>
      <c r="G78" s="46">
        <v>1</v>
      </c>
    </row>
    <row r="79" spans="1:7" ht="29.25">
      <c r="A79" s="35" t="s">
        <v>57</v>
      </c>
      <c r="B79" s="34" t="s">
        <v>44</v>
      </c>
      <c r="C79" s="34" t="s">
        <v>62</v>
      </c>
      <c r="D79" s="34" t="s">
        <v>90</v>
      </c>
      <c r="E79" s="31" t="s">
        <v>58</v>
      </c>
      <c r="F79" s="46">
        <v>40</v>
      </c>
      <c r="G79" s="46">
        <v>40</v>
      </c>
    </row>
    <row r="80" spans="1:7" ht="57.75">
      <c r="A80" s="35" t="s">
        <v>242</v>
      </c>
      <c r="B80" s="31" t="s">
        <v>44</v>
      </c>
      <c r="C80" s="31" t="s">
        <v>62</v>
      </c>
      <c r="D80" s="31" t="s">
        <v>243</v>
      </c>
      <c r="E80" s="31" t="s">
        <v>42</v>
      </c>
      <c r="F80" s="46">
        <f>F81</f>
        <v>0.38</v>
      </c>
      <c r="G80" s="46">
        <f>G81</f>
        <v>0.41</v>
      </c>
    </row>
    <row r="81" spans="1:7" ht="29.25">
      <c r="A81" s="115" t="s">
        <v>57</v>
      </c>
      <c r="B81" s="116" t="s">
        <v>44</v>
      </c>
      <c r="C81" s="116" t="s">
        <v>62</v>
      </c>
      <c r="D81" s="116" t="s">
        <v>243</v>
      </c>
      <c r="E81" s="116" t="s">
        <v>58</v>
      </c>
      <c r="F81" s="117">
        <v>0.38</v>
      </c>
      <c r="G81" s="118">
        <v>0.41</v>
      </c>
    </row>
    <row r="82" spans="1:7">
      <c r="A82" s="99" t="s">
        <v>91</v>
      </c>
      <c r="B82" s="100" t="s">
        <v>47</v>
      </c>
      <c r="C82" s="100" t="s">
        <v>40</v>
      </c>
      <c r="D82" s="101" t="s">
        <v>45</v>
      </c>
      <c r="E82" s="101" t="s">
        <v>42</v>
      </c>
      <c r="F82" s="109">
        <f t="shared" ref="F82:G84" si="3">F83</f>
        <v>1219</v>
      </c>
      <c r="G82" s="109">
        <f t="shared" si="3"/>
        <v>1219</v>
      </c>
    </row>
    <row r="83" spans="1:7" ht="28.5">
      <c r="A83" s="73" t="s">
        <v>92</v>
      </c>
      <c r="B83" s="33" t="s">
        <v>47</v>
      </c>
      <c r="C83" s="33" t="s">
        <v>54</v>
      </c>
      <c r="D83" s="34" t="s">
        <v>93</v>
      </c>
      <c r="E83" s="34" t="s">
        <v>42</v>
      </c>
      <c r="F83" s="46">
        <f t="shared" si="3"/>
        <v>1219</v>
      </c>
      <c r="G83" s="46">
        <f t="shared" si="3"/>
        <v>1219</v>
      </c>
    </row>
    <row r="84" spans="1:7" ht="28.5">
      <c r="A84" s="73" t="s">
        <v>94</v>
      </c>
      <c r="B84" s="33" t="s">
        <v>47</v>
      </c>
      <c r="C84" s="33" t="s">
        <v>54</v>
      </c>
      <c r="D84" s="31" t="s">
        <v>95</v>
      </c>
      <c r="E84" s="34" t="s">
        <v>42</v>
      </c>
      <c r="F84" s="46">
        <f t="shared" si="3"/>
        <v>1219</v>
      </c>
      <c r="G84" s="46">
        <f t="shared" si="3"/>
        <v>1219</v>
      </c>
    </row>
    <row r="85" spans="1:7">
      <c r="A85" s="119" t="s">
        <v>81</v>
      </c>
      <c r="B85" s="120" t="s">
        <v>47</v>
      </c>
      <c r="C85" s="120" t="s">
        <v>54</v>
      </c>
      <c r="D85" s="116" t="s">
        <v>95</v>
      </c>
      <c r="E85" s="116" t="s">
        <v>96</v>
      </c>
      <c r="F85" s="117">
        <v>1219</v>
      </c>
      <c r="G85" s="117">
        <v>1219</v>
      </c>
    </row>
    <row r="86" spans="1:7" ht="30">
      <c r="A86" s="110" t="s">
        <v>118</v>
      </c>
      <c r="B86" s="111" t="s">
        <v>54</v>
      </c>
      <c r="C86" s="100" t="s">
        <v>40</v>
      </c>
      <c r="D86" s="111" t="s">
        <v>45</v>
      </c>
      <c r="E86" s="111" t="s">
        <v>42</v>
      </c>
      <c r="F86" s="109">
        <f t="shared" ref="F86:G89" si="4">F87</f>
        <v>712.8</v>
      </c>
      <c r="G86" s="109">
        <f t="shared" si="4"/>
        <v>750.8</v>
      </c>
    </row>
    <row r="87" spans="1:7" ht="43.5">
      <c r="A87" s="70" t="s">
        <v>119</v>
      </c>
      <c r="B87" s="32" t="s">
        <v>54</v>
      </c>
      <c r="C87" s="38" t="s">
        <v>107</v>
      </c>
      <c r="D87" s="32" t="s">
        <v>45</v>
      </c>
      <c r="E87" s="32" t="s">
        <v>42</v>
      </c>
      <c r="F87" s="46">
        <f t="shared" si="4"/>
        <v>712.8</v>
      </c>
      <c r="G87" s="46">
        <f t="shared" si="4"/>
        <v>750.8</v>
      </c>
    </row>
    <row r="88" spans="1:7">
      <c r="A88" s="70" t="s">
        <v>120</v>
      </c>
      <c r="B88" s="32" t="s">
        <v>54</v>
      </c>
      <c r="C88" s="38" t="s">
        <v>107</v>
      </c>
      <c r="D88" s="32" t="s">
        <v>121</v>
      </c>
      <c r="E88" s="32" t="s">
        <v>42</v>
      </c>
      <c r="F88" s="46">
        <f t="shared" si="4"/>
        <v>712.8</v>
      </c>
      <c r="G88" s="46">
        <f t="shared" si="4"/>
        <v>750.8</v>
      </c>
    </row>
    <row r="89" spans="1:7" ht="29.25">
      <c r="A89" s="70" t="s">
        <v>122</v>
      </c>
      <c r="B89" s="32" t="s">
        <v>54</v>
      </c>
      <c r="C89" s="38" t="s">
        <v>107</v>
      </c>
      <c r="D89" s="32" t="s">
        <v>123</v>
      </c>
      <c r="E89" s="32" t="s">
        <v>42</v>
      </c>
      <c r="F89" s="46">
        <f t="shared" si="4"/>
        <v>712.8</v>
      </c>
      <c r="G89" s="46">
        <f t="shared" si="4"/>
        <v>750.8</v>
      </c>
    </row>
    <row r="90" spans="1:7" ht="72">
      <c r="A90" s="115" t="s">
        <v>51</v>
      </c>
      <c r="B90" s="121" t="s">
        <v>54</v>
      </c>
      <c r="C90" s="122" t="s">
        <v>107</v>
      </c>
      <c r="D90" s="121" t="s">
        <v>123</v>
      </c>
      <c r="E90" s="121" t="s">
        <v>52</v>
      </c>
      <c r="F90" s="117">
        <v>712.8</v>
      </c>
      <c r="G90" s="117">
        <v>750.8</v>
      </c>
    </row>
    <row r="91" spans="1:7">
      <c r="A91" s="99" t="s">
        <v>231</v>
      </c>
      <c r="B91" s="100" t="s">
        <v>68</v>
      </c>
      <c r="C91" s="100" t="s">
        <v>40</v>
      </c>
      <c r="D91" s="101" t="s">
        <v>45</v>
      </c>
      <c r="E91" s="101" t="s">
        <v>42</v>
      </c>
      <c r="F91" s="109">
        <f>F92+F96</f>
        <v>14692</v>
      </c>
      <c r="G91" s="109">
        <f>G92+G96</f>
        <v>14692</v>
      </c>
    </row>
    <row r="92" spans="1:7">
      <c r="A92" s="73" t="s">
        <v>232</v>
      </c>
      <c r="B92" s="33" t="s">
        <v>68</v>
      </c>
      <c r="C92" s="33" t="s">
        <v>233</v>
      </c>
      <c r="D92" s="34" t="s">
        <v>45</v>
      </c>
      <c r="E92" s="34" t="s">
        <v>42</v>
      </c>
      <c r="F92" s="46">
        <f t="shared" ref="F92:G94" si="5">F93</f>
        <v>692</v>
      </c>
      <c r="G92" s="83">
        <f t="shared" si="5"/>
        <v>692</v>
      </c>
    </row>
    <row r="93" spans="1:7">
      <c r="A93" s="73" t="s">
        <v>81</v>
      </c>
      <c r="B93" s="33" t="s">
        <v>68</v>
      </c>
      <c r="C93" s="33" t="s">
        <v>233</v>
      </c>
      <c r="D93" s="34" t="s">
        <v>82</v>
      </c>
      <c r="E93" s="34" t="s">
        <v>42</v>
      </c>
      <c r="F93" s="46">
        <f t="shared" si="5"/>
        <v>692</v>
      </c>
      <c r="G93" s="83">
        <f t="shared" si="5"/>
        <v>692</v>
      </c>
    </row>
    <row r="94" spans="1:7" ht="57">
      <c r="A94" s="73" t="s">
        <v>234</v>
      </c>
      <c r="B94" s="33" t="s">
        <v>68</v>
      </c>
      <c r="C94" s="33" t="s">
        <v>233</v>
      </c>
      <c r="D94" s="34" t="s">
        <v>235</v>
      </c>
      <c r="E94" s="34" t="s">
        <v>42</v>
      </c>
      <c r="F94" s="46">
        <f t="shared" si="5"/>
        <v>692</v>
      </c>
      <c r="G94" s="83">
        <f t="shared" si="5"/>
        <v>692</v>
      </c>
    </row>
    <row r="95" spans="1:7" ht="28.5">
      <c r="A95" s="52" t="s">
        <v>57</v>
      </c>
      <c r="B95" s="33" t="s">
        <v>194</v>
      </c>
      <c r="C95" s="33" t="s">
        <v>236</v>
      </c>
      <c r="D95" s="34" t="s">
        <v>235</v>
      </c>
      <c r="E95" s="31" t="s">
        <v>58</v>
      </c>
      <c r="F95" s="46">
        <f>108.2+583.8</f>
        <v>692</v>
      </c>
      <c r="G95" s="83">
        <f>108.2+583.8</f>
        <v>692</v>
      </c>
    </row>
    <row r="96" spans="1:7">
      <c r="A96" s="211" t="s">
        <v>237</v>
      </c>
      <c r="B96" s="207" t="s">
        <v>68</v>
      </c>
      <c r="C96" s="207" t="s">
        <v>107</v>
      </c>
      <c r="D96" s="208" t="s">
        <v>45</v>
      </c>
      <c r="E96" s="208" t="s">
        <v>42</v>
      </c>
      <c r="F96" s="209">
        <f t="shared" ref="F96:G98" si="6">F97</f>
        <v>14000</v>
      </c>
      <c r="G96" s="209">
        <f t="shared" si="6"/>
        <v>14000</v>
      </c>
    </row>
    <row r="97" spans="1:7">
      <c r="A97" s="52" t="s">
        <v>238</v>
      </c>
      <c r="B97" s="38" t="s">
        <v>68</v>
      </c>
      <c r="C97" s="38" t="s">
        <v>107</v>
      </c>
      <c r="D97" s="31" t="s">
        <v>239</v>
      </c>
      <c r="E97" s="31" t="s">
        <v>42</v>
      </c>
      <c r="F97" s="46">
        <f t="shared" si="6"/>
        <v>14000</v>
      </c>
      <c r="G97" s="46">
        <f t="shared" si="6"/>
        <v>14000</v>
      </c>
    </row>
    <row r="98" spans="1:7">
      <c r="A98" s="52" t="s">
        <v>240</v>
      </c>
      <c r="B98" s="38" t="s">
        <v>68</v>
      </c>
      <c r="C98" s="38" t="s">
        <v>107</v>
      </c>
      <c r="D98" s="31" t="s">
        <v>241</v>
      </c>
      <c r="E98" s="31" t="s">
        <v>42</v>
      </c>
      <c r="F98" s="46">
        <f t="shared" si="6"/>
        <v>14000</v>
      </c>
      <c r="G98" s="46">
        <f t="shared" si="6"/>
        <v>14000</v>
      </c>
    </row>
    <row r="99" spans="1:7" ht="29.25">
      <c r="A99" s="115" t="s">
        <v>57</v>
      </c>
      <c r="B99" s="122" t="s">
        <v>68</v>
      </c>
      <c r="C99" s="122" t="s">
        <v>107</v>
      </c>
      <c r="D99" s="116" t="s">
        <v>241</v>
      </c>
      <c r="E99" s="116" t="s">
        <v>58</v>
      </c>
      <c r="F99" s="117">
        <v>14000</v>
      </c>
      <c r="G99" s="118">
        <v>14000</v>
      </c>
    </row>
    <row r="100" spans="1:7">
      <c r="A100" s="112" t="s">
        <v>97</v>
      </c>
      <c r="B100" s="100" t="s">
        <v>98</v>
      </c>
      <c r="C100" s="100" t="s">
        <v>40</v>
      </c>
      <c r="D100" s="111" t="s">
        <v>45</v>
      </c>
      <c r="E100" s="101" t="s">
        <v>42</v>
      </c>
      <c r="F100" s="109">
        <f t="shared" ref="F100:G104" si="7">F101</f>
        <v>3586</v>
      </c>
      <c r="G100" s="109">
        <f t="shared" si="7"/>
        <v>4931</v>
      </c>
    </row>
    <row r="101" spans="1:7" ht="30">
      <c r="A101" s="78" t="s">
        <v>99</v>
      </c>
      <c r="B101" s="39" t="s">
        <v>98</v>
      </c>
      <c r="C101" s="39" t="s">
        <v>54</v>
      </c>
      <c r="D101" s="40" t="s">
        <v>45</v>
      </c>
      <c r="E101" s="41" t="s">
        <v>42</v>
      </c>
      <c r="F101" s="79">
        <f t="shared" si="7"/>
        <v>3586</v>
      </c>
      <c r="G101" s="79">
        <f t="shared" si="7"/>
        <v>4931</v>
      </c>
    </row>
    <row r="102" spans="1:7" ht="43.5">
      <c r="A102" s="90" t="s">
        <v>100</v>
      </c>
      <c r="B102" s="38" t="s">
        <v>98</v>
      </c>
      <c r="C102" s="38" t="s">
        <v>54</v>
      </c>
      <c r="D102" s="32" t="s">
        <v>101</v>
      </c>
      <c r="E102" s="31" t="s">
        <v>42</v>
      </c>
      <c r="F102" s="46">
        <f t="shared" si="7"/>
        <v>3586</v>
      </c>
      <c r="G102" s="46">
        <f t="shared" si="7"/>
        <v>4931</v>
      </c>
    </row>
    <row r="103" spans="1:7">
      <c r="A103" s="90" t="s">
        <v>102</v>
      </c>
      <c r="B103" s="38" t="s">
        <v>98</v>
      </c>
      <c r="C103" s="38" t="s">
        <v>54</v>
      </c>
      <c r="D103" s="32" t="s">
        <v>103</v>
      </c>
      <c r="E103" s="31" t="s">
        <v>42</v>
      </c>
      <c r="F103" s="46">
        <f t="shared" si="7"/>
        <v>3586</v>
      </c>
      <c r="G103" s="46">
        <f t="shared" si="7"/>
        <v>4931</v>
      </c>
    </row>
    <row r="104" spans="1:7" ht="29.25">
      <c r="A104" s="90" t="s">
        <v>104</v>
      </c>
      <c r="B104" s="38" t="s">
        <v>98</v>
      </c>
      <c r="C104" s="38" t="s">
        <v>54</v>
      </c>
      <c r="D104" s="32" t="s">
        <v>105</v>
      </c>
      <c r="E104" s="31" t="s">
        <v>42</v>
      </c>
      <c r="F104" s="46">
        <f t="shared" si="7"/>
        <v>3586</v>
      </c>
      <c r="G104" s="46">
        <f t="shared" si="7"/>
        <v>4931</v>
      </c>
    </row>
    <row r="105" spans="1:7" ht="29.25">
      <c r="A105" s="115" t="s">
        <v>57</v>
      </c>
      <c r="B105" s="122" t="s">
        <v>98</v>
      </c>
      <c r="C105" s="122" t="s">
        <v>54</v>
      </c>
      <c r="D105" s="121" t="s">
        <v>105</v>
      </c>
      <c r="E105" s="116" t="s">
        <v>58</v>
      </c>
      <c r="F105" s="117">
        <v>3586</v>
      </c>
      <c r="G105" s="117">
        <v>4931</v>
      </c>
    </row>
    <row r="106" spans="1:7">
      <c r="A106" s="99" t="s">
        <v>128</v>
      </c>
      <c r="B106" s="100" t="s">
        <v>109</v>
      </c>
      <c r="C106" s="100" t="s">
        <v>40</v>
      </c>
      <c r="D106" s="101" t="s">
        <v>45</v>
      </c>
      <c r="E106" s="101" t="s">
        <v>42</v>
      </c>
      <c r="F106" s="109">
        <f>F107+F117+F136+F142</f>
        <v>341925.7</v>
      </c>
      <c r="G106" s="109">
        <f>G107+G117+G136+G142</f>
        <v>345891.49999999994</v>
      </c>
    </row>
    <row r="107" spans="1:7">
      <c r="A107" s="91" t="s">
        <v>129</v>
      </c>
      <c r="B107" s="45" t="s">
        <v>109</v>
      </c>
      <c r="C107" s="45" t="s">
        <v>44</v>
      </c>
      <c r="D107" s="45" t="s">
        <v>41</v>
      </c>
      <c r="E107" s="45" t="s">
        <v>42</v>
      </c>
      <c r="F107" s="79">
        <f>F108+F113</f>
        <v>45882.5</v>
      </c>
      <c r="G107" s="79">
        <f>G108+G113</f>
        <v>47023.6</v>
      </c>
    </row>
    <row r="108" spans="1:7">
      <c r="A108" s="91" t="s">
        <v>130</v>
      </c>
      <c r="B108" s="45" t="s">
        <v>109</v>
      </c>
      <c r="C108" s="45" t="s">
        <v>44</v>
      </c>
      <c r="D108" s="45" t="s">
        <v>131</v>
      </c>
      <c r="E108" s="45" t="s">
        <v>42</v>
      </c>
      <c r="F108" s="79">
        <f>F109+F111</f>
        <v>26798</v>
      </c>
      <c r="G108" s="79">
        <f>G109+G111</f>
        <v>27939.1</v>
      </c>
    </row>
    <row r="109" spans="1:7">
      <c r="A109" s="92" t="s">
        <v>132</v>
      </c>
      <c r="B109" s="31" t="s">
        <v>109</v>
      </c>
      <c r="C109" s="31" t="s">
        <v>44</v>
      </c>
      <c r="D109" s="31" t="s">
        <v>133</v>
      </c>
      <c r="E109" s="31" t="s">
        <v>42</v>
      </c>
      <c r="F109" s="51">
        <f>F110</f>
        <v>3686</v>
      </c>
      <c r="G109" s="51">
        <f>G110</f>
        <v>3739.1</v>
      </c>
    </row>
    <row r="110" spans="1:7">
      <c r="A110" s="35" t="s">
        <v>134</v>
      </c>
      <c r="B110" s="31" t="s">
        <v>109</v>
      </c>
      <c r="C110" s="31" t="s">
        <v>44</v>
      </c>
      <c r="D110" s="31" t="s">
        <v>133</v>
      </c>
      <c r="E110" s="31" t="s">
        <v>135</v>
      </c>
      <c r="F110" s="51">
        <v>3686</v>
      </c>
      <c r="G110" s="51">
        <f>279.6+3459.5</f>
        <v>3739.1</v>
      </c>
    </row>
    <row r="111" spans="1:7" ht="43.5">
      <c r="A111" s="35" t="s">
        <v>136</v>
      </c>
      <c r="B111" s="31" t="s">
        <v>109</v>
      </c>
      <c r="C111" s="31" t="s">
        <v>44</v>
      </c>
      <c r="D111" s="31" t="s">
        <v>137</v>
      </c>
      <c r="E111" s="31" t="s">
        <v>42</v>
      </c>
      <c r="F111" s="51">
        <f>F112</f>
        <v>23112</v>
      </c>
      <c r="G111" s="51">
        <f>G112</f>
        <v>24200</v>
      </c>
    </row>
    <row r="112" spans="1:7">
      <c r="A112" s="35" t="s">
        <v>134</v>
      </c>
      <c r="B112" s="31" t="s">
        <v>109</v>
      </c>
      <c r="C112" s="31" t="s">
        <v>44</v>
      </c>
      <c r="D112" s="31" t="s">
        <v>137</v>
      </c>
      <c r="E112" s="31" t="s">
        <v>135</v>
      </c>
      <c r="F112" s="51">
        <v>23112</v>
      </c>
      <c r="G112" s="51">
        <v>24200</v>
      </c>
    </row>
    <row r="113" spans="1:7">
      <c r="A113" s="92" t="s">
        <v>81</v>
      </c>
      <c r="B113" s="31" t="s">
        <v>109</v>
      </c>
      <c r="C113" s="34" t="s">
        <v>44</v>
      </c>
      <c r="D113" s="31" t="s">
        <v>82</v>
      </c>
      <c r="E113" s="34" t="s">
        <v>42</v>
      </c>
      <c r="F113" s="46">
        <f t="shared" ref="F113:G115" si="8">F114</f>
        <v>19084.5</v>
      </c>
      <c r="G113" s="46">
        <f t="shared" si="8"/>
        <v>19084.5</v>
      </c>
    </row>
    <row r="114" spans="1:7" ht="72">
      <c r="A114" s="35" t="s">
        <v>138</v>
      </c>
      <c r="B114" s="34" t="s">
        <v>109</v>
      </c>
      <c r="C114" s="34" t="s">
        <v>44</v>
      </c>
      <c r="D114" s="31" t="s">
        <v>139</v>
      </c>
      <c r="E114" s="34" t="s">
        <v>42</v>
      </c>
      <c r="F114" s="46">
        <f t="shared" si="8"/>
        <v>19084.5</v>
      </c>
      <c r="G114" s="46">
        <f t="shared" si="8"/>
        <v>19084.5</v>
      </c>
    </row>
    <row r="115" spans="1:7" ht="72">
      <c r="A115" s="35" t="s">
        <v>140</v>
      </c>
      <c r="B115" s="34" t="s">
        <v>109</v>
      </c>
      <c r="C115" s="34" t="s">
        <v>44</v>
      </c>
      <c r="D115" s="31" t="s">
        <v>141</v>
      </c>
      <c r="E115" s="31" t="s">
        <v>42</v>
      </c>
      <c r="F115" s="46">
        <f t="shared" si="8"/>
        <v>19084.5</v>
      </c>
      <c r="G115" s="46">
        <f t="shared" si="8"/>
        <v>19084.5</v>
      </c>
    </row>
    <row r="116" spans="1:7">
      <c r="A116" s="35" t="s">
        <v>134</v>
      </c>
      <c r="B116" s="34" t="s">
        <v>109</v>
      </c>
      <c r="C116" s="34" t="s">
        <v>44</v>
      </c>
      <c r="D116" s="31" t="s">
        <v>141</v>
      </c>
      <c r="E116" s="31" t="s">
        <v>135</v>
      </c>
      <c r="F116" s="46">
        <v>19084.5</v>
      </c>
      <c r="G116" s="46">
        <v>19084.5</v>
      </c>
    </row>
    <row r="117" spans="1:7">
      <c r="A117" s="89" t="s">
        <v>142</v>
      </c>
      <c r="B117" s="45" t="s">
        <v>109</v>
      </c>
      <c r="C117" s="45" t="s">
        <v>47</v>
      </c>
      <c r="D117" s="45" t="s">
        <v>45</v>
      </c>
      <c r="E117" s="45" t="s">
        <v>42</v>
      </c>
      <c r="F117" s="79">
        <f>F118+F123+F128+F133</f>
        <v>280661.40000000002</v>
      </c>
      <c r="G117" s="79">
        <f>G118+G123+G128+G133</f>
        <v>283159.09999999998</v>
      </c>
    </row>
    <row r="118" spans="1:7" ht="30">
      <c r="A118" s="89" t="s">
        <v>143</v>
      </c>
      <c r="B118" s="45" t="s">
        <v>109</v>
      </c>
      <c r="C118" s="45" t="s">
        <v>47</v>
      </c>
      <c r="D118" s="45" t="s">
        <v>144</v>
      </c>
      <c r="E118" s="45" t="s">
        <v>42</v>
      </c>
      <c r="F118" s="79">
        <f>F119+F121</f>
        <v>121498.3</v>
      </c>
      <c r="G118" s="79">
        <f>G119+G121</f>
        <v>124472</v>
      </c>
    </row>
    <row r="119" spans="1:7" ht="28.5">
      <c r="A119" s="73" t="s">
        <v>79</v>
      </c>
      <c r="B119" s="34" t="s">
        <v>109</v>
      </c>
      <c r="C119" s="34" t="s">
        <v>47</v>
      </c>
      <c r="D119" s="34" t="s">
        <v>145</v>
      </c>
      <c r="E119" s="34" t="s">
        <v>42</v>
      </c>
      <c r="F119" s="46">
        <f>F120</f>
        <v>31303.100000000002</v>
      </c>
      <c r="G119" s="46">
        <f>G120</f>
        <v>18642.2</v>
      </c>
    </row>
    <row r="120" spans="1:7">
      <c r="A120" s="35" t="s">
        <v>134</v>
      </c>
      <c r="B120" s="34" t="s">
        <v>109</v>
      </c>
      <c r="C120" s="34" t="s">
        <v>47</v>
      </c>
      <c r="D120" s="34" t="s">
        <v>145</v>
      </c>
      <c r="E120" s="31" t="s">
        <v>135</v>
      </c>
      <c r="F120" s="46">
        <f>266.7+31036.4</f>
        <v>31303.100000000002</v>
      </c>
      <c r="G120" s="46">
        <f>12+18630.2</f>
        <v>18642.2</v>
      </c>
    </row>
    <row r="121" spans="1:7" ht="43.5">
      <c r="A121" s="35" t="s">
        <v>136</v>
      </c>
      <c r="B121" s="34" t="s">
        <v>109</v>
      </c>
      <c r="C121" s="34" t="s">
        <v>47</v>
      </c>
      <c r="D121" s="31" t="s">
        <v>146</v>
      </c>
      <c r="E121" s="31" t="s">
        <v>42</v>
      </c>
      <c r="F121" s="46">
        <f>F122</f>
        <v>90195.199999999997</v>
      </c>
      <c r="G121" s="46">
        <f>G122</f>
        <v>105829.8</v>
      </c>
    </row>
    <row r="122" spans="1:7">
      <c r="A122" s="35" t="s">
        <v>134</v>
      </c>
      <c r="B122" s="34" t="s">
        <v>109</v>
      </c>
      <c r="C122" s="34" t="s">
        <v>47</v>
      </c>
      <c r="D122" s="31" t="s">
        <v>146</v>
      </c>
      <c r="E122" s="31" t="s">
        <v>135</v>
      </c>
      <c r="F122" s="46">
        <v>90195.199999999997</v>
      </c>
      <c r="G122" s="46">
        <v>105829.8</v>
      </c>
    </row>
    <row r="123" spans="1:7">
      <c r="A123" s="78" t="s">
        <v>147</v>
      </c>
      <c r="B123" s="45" t="s">
        <v>109</v>
      </c>
      <c r="C123" s="45" t="s">
        <v>47</v>
      </c>
      <c r="D123" s="45" t="s">
        <v>148</v>
      </c>
      <c r="E123" s="45" t="s">
        <v>42</v>
      </c>
      <c r="F123" s="79">
        <f>F124+F126</f>
        <v>17522</v>
      </c>
      <c r="G123" s="79">
        <f>G124+G126</f>
        <v>16330</v>
      </c>
    </row>
    <row r="124" spans="1:7" ht="29.25">
      <c r="A124" s="70" t="s">
        <v>79</v>
      </c>
      <c r="B124" s="34" t="s">
        <v>109</v>
      </c>
      <c r="C124" s="34" t="s">
        <v>47</v>
      </c>
      <c r="D124" s="34" t="s">
        <v>149</v>
      </c>
      <c r="E124" s="34" t="s">
        <v>42</v>
      </c>
      <c r="F124" s="46">
        <f>F125</f>
        <v>4386</v>
      </c>
      <c r="G124" s="46">
        <f>G125</f>
        <v>2590</v>
      </c>
    </row>
    <row r="125" spans="1:7">
      <c r="A125" s="35" t="s">
        <v>134</v>
      </c>
      <c r="B125" s="34" t="s">
        <v>109</v>
      </c>
      <c r="C125" s="34" t="s">
        <v>47</v>
      </c>
      <c r="D125" s="34" t="s">
        <v>149</v>
      </c>
      <c r="E125" s="31" t="s">
        <v>135</v>
      </c>
      <c r="F125" s="46">
        <v>4386</v>
      </c>
      <c r="G125" s="46">
        <v>2590</v>
      </c>
    </row>
    <row r="126" spans="1:7" ht="43.5">
      <c r="A126" s="35" t="s">
        <v>136</v>
      </c>
      <c r="B126" s="34" t="s">
        <v>109</v>
      </c>
      <c r="C126" s="34" t="s">
        <v>47</v>
      </c>
      <c r="D126" s="31" t="s">
        <v>150</v>
      </c>
      <c r="E126" s="34" t="s">
        <v>42</v>
      </c>
      <c r="F126" s="46">
        <f>F127</f>
        <v>13136</v>
      </c>
      <c r="G126" s="46">
        <f>G127</f>
        <v>13740</v>
      </c>
    </row>
    <row r="127" spans="1:7">
      <c r="A127" s="35" t="s">
        <v>134</v>
      </c>
      <c r="B127" s="34" t="s">
        <v>109</v>
      </c>
      <c r="C127" s="34" t="s">
        <v>47</v>
      </c>
      <c r="D127" s="31" t="s">
        <v>150</v>
      </c>
      <c r="E127" s="31" t="s">
        <v>135</v>
      </c>
      <c r="F127" s="46">
        <v>13136</v>
      </c>
      <c r="G127" s="46">
        <v>13740</v>
      </c>
    </row>
    <row r="128" spans="1:7">
      <c r="A128" s="89" t="s">
        <v>151</v>
      </c>
      <c r="B128" s="45" t="s">
        <v>109</v>
      </c>
      <c r="C128" s="45" t="s">
        <v>47</v>
      </c>
      <c r="D128" s="45" t="s">
        <v>152</v>
      </c>
      <c r="E128" s="45" t="s">
        <v>42</v>
      </c>
      <c r="F128" s="79">
        <f t="shared" ref="F128:G131" si="9">F129</f>
        <v>16480</v>
      </c>
      <c r="G128" s="79">
        <f t="shared" si="9"/>
        <v>17196</v>
      </c>
    </row>
    <row r="129" spans="1:7">
      <c r="A129" s="73" t="s">
        <v>151</v>
      </c>
      <c r="B129" s="34" t="s">
        <v>109</v>
      </c>
      <c r="C129" s="34" t="s">
        <v>47</v>
      </c>
      <c r="D129" s="34" t="s">
        <v>152</v>
      </c>
      <c r="E129" s="34" t="s">
        <v>42</v>
      </c>
      <c r="F129" s="46">
        <f t="shared" si="9"/>
        <v>16480</v>
      </c>
      <c r="G129" s="46">
        <f t="shared" si="9"/>
        <v>17196</v>
      </c>
    </row>
    <row r="130" spans="1:7" ht="28.5">
      <c r="A130" s="73" t="s">
        <v>79</v>
      </c>
      <c r="B130" s="34" t="s">
        <v>109</v>
      </c>
      <c r="C130" s="34" t="s">
        <v>47</v>
      </c>
      <c r="D130" s="34" t="s">
        <v>153</v>
      </c>
      <c r="E130" s="34" t="s">
        <v>42</v>
      </c>
      <c r="F130" s="46">
        <f t="shared" si="9"/>
        <v>16480</v>
      </c>
      <c r="G130" s="46">
        <f t="shared" si="9"/>
        <v>17196</v>
      </c>
    </row>
    <row r="131" spans="1:7" ht="43.5">
      <c r="A131" s="35" t="s">
        <v>136</v>
      </c>
      <c r="B131" s="34" t="s">
        <v>109</v>
      </c>
      <c r="C131" s="34" t="s">
        <v>47</v>
      </c>
      <c r="D131" s="31" t="s">
        <v>154</v>
      </c>
      <c r="E131" s="31" t="s">
        <v>42</v>
      </c>
      <c r="F131" s="46">
        <f t="shared" si="9"/>
        <v>16480</v>
      </c>
      <c r="G131" s="46">
        <f t="shared" si="9"/>
        <v>17196</v>
      </c>
    </row>
    <row r="132" spans="1:7">
      <c r="A132" s="35" t="s">
        <v>134</v>
      </c>
      <c r="B132" s="34" t="s">
        <v>109</v>
      </c>
      <c r="C132" s="34" t="s">
        <v>47</v>
      </c>
      <c r="D132" s="31" t="s">
        <v>154</v>
      </c>
      <c r="E132" s="31" t="s">
        <v>135</v>
      </c>
      <c r="F132" s="46">
        <f>Лист3!G149+Лист3!G188+Лист3!G225</f>
        <v>16480</v>
      </c>
      <c r="G132" s="46">
        <f>Лист3!H149+Лист3!H188+Лист3!H225</f>
        <v>17196</v>
      </c>
    </row>
    <row r="133" spans="1:7">
      <c r="A133" s="89" t="s">
        <v>81</v>
      </c>
      <c r="B133" s="45" t="s">
        <v>109</v>
      </c>
      <c r="C133" s="45" t="s">
        <v>47</v>
      </c>
      <c r="D133" s="45" t="s">
        <v>82</v>
      </c>
      <c r="E133" s="45" t="s">
        <v>42</v>
      </c>
      <c r="F133" s="79">
        <f>F134</f>
        <v>125161.1</v>
      </c>
      <c r="G133" s="79">
        <f>G134</f>
        <v>125161.1</v>
      </c>
    </row>
    <row r="134" spans="1:7" ht="57.75">
      <c r="A134" s="70" t="s">
        <v>155</v>
      </c>
      <c r="B134" s="34" t="s">
        <v>109</v>
      </c>
      <c r="C134" s="34" t="s">
        <v>47</v>
      </c>
      <c r="D134" s="34" t="s">
        <v>156</v>
      </c>
      <c r="E134" s="34" t="s">
        <v>42</v>
      </c>
      <c r="F134" s="46">
        <f>F135</f>
        <v>125161.1</v>
      </c>
      <c r="G134" s="46">
        <f>G135</f>
        <v>125161.1</v>
      </c>
    </row>
    <row r="135" spans="1:7">
      <c r="A135" s="35" t="s">
        <v>134</v>
      </c>
      <c r="B135" s="34" t="s">
        <v>109</v>
      </c>
      <c r="C135" s="34" t="s">
        <v>47</v>
      </c>
      <c r="D135" s="34" t="s">
        <v>156</v>
      </c>
      <c r="E135" s="31" t="s">
        <v>135</v>
      </c>
      <c r="F135" s="46">
        <v>125161.1</v>
      </c>
      <c r="G135" s="46">
        <v>125161.1</v>
      </c>
    </row>
    <row r="136" spans="1:7">
      <c r="A136" s="89" t="s">
        <v>157</v>
      </c>
      <c r="B136" s="45" t="s">
        <v>109</v>
      </c>
      <c r="C136" s="45" t="s">
        <v>109</v>
      </c>
      <c r="D136" s="45" t="s">
        <v>45</v>
      </c>
      <c r="E136" s="45" t="s">
        <v>42</v>
      </c>
      <c r="F136" s="79">
        <f>F137+F140</f>
        <v>5163</v>
      </c>
      <c r="G136" s="79">
        <f>G137+G140</f>
        <v>5153</v>
      </c>
    </row>
    <row r="137" spans="1:7" ht="28.5">
      <c r="A137" s="73" t="s">
        <v>158</v>
      </c>
      <c r="B137" s="34" t="s">
        <v>109</v>
      </c>
      <c r="C137" s="34" t="s">
        <v>109</v>
      </c>
      <c r="D137" s="34" t="s">
        <v>159</v>
      </c>
      <c r="E137" s="34" t="s">
        <v>42</v>
      </c>
      <c r="F137" s="46">
        <f>F138</f>
        <v>3865</v>
      </c>
      <c r="G137" s="46">
        <f>G138</f>
        <v>3865</v>
      </c>
    </row>
    <row r="138" spans="1:7" ht="28.5">
      <c r="A138" s="73" t="s">
        <v>79</v>
      </c>
      <c r="B138" s="34" t="s">
        <v>109</v>
      </c>
      <c r="C138" s="34" t="s">
        <v>109</v>
      </c>
      <c r="D138" s="34" t="s">
        <v>160</v>
      </c>
      <c r="E138" s="34" t="s">
        <v>42</v>
      </c>
      <c r="F138" s="46">
        <f>F139</f>
        <v>3865</v>
      </c>
      <c r="G138" s="46">
        <f>G139</f>
        <v>3865</v>
      </c>
    </row>
    <row r="139" spans="1:7">
      <c r="A139" s="35" t="s">
        <v>134</v>
      </c>
      <c r="B139" s="34" t="s">
        <v>109</v>
      </c>
      <c r="C139" s="34" t="s">
        <v>109</v>
      </c>
      <c r="D139" s="34" t="s">
        <v>160</v>
      </c>
      <c r="E139" s="31" t="s">
        <v>135</v>
      </c>
      <c r="F139" s="46">
        <v>3865</v>
      </c>
      <c r="G139" s="46">
        <v>3865</v>
      </c>
    </row>
    <row r="140" spans="1:7" ht="43.5">
      <c r="A140" s="35" t="s">
        <v>136</v>
      </c>
      <c r="B140" s="34" t="s">
        <v>109</v>
      </c>
      <c r="C140" s="34" t="s">
        <v>109</v>
      </c>
      <c r="D140" s="31" t="s">
        <v>161</v>
      </c>
      <c r="E140" s="31" t="s">
        <v>42</v>
      </c>
      <c r="F140" s="46">
        <f>F141</f>
        <v>1298</v>
      </c>
      <c r="G140" s="46">
        <f>G141</f>
        <v>1288</v>
      </c>
    </row>
    <row r="141" spans="1:7">
      <c r="A141" s="35" t="s">
        <v>134</v>
      </c>
      <c r="B141" s="34" t="s">
        <v>109</v>
      </c>
      <c r="C141" s="34" t="s">
        <v>109</v>
      </c>
      <c r="D141" s="31" t="s">
        <v>161</v>
      </c>
      <c r="E141" s="31" t="s">
        <v>135</v>
      </c>
      <c r="F141" s="46">
        <v>1298</v>
      </c>
      <c r="G141" s="46">
        <v>1288</v>
      </c>
    </row>
    <row r="142" spans="1:7">
      <c r="A142" s="89" t="s">
        <v>162</v>
      </c>
      <c r="B142" s="45" t="s">
        <v>109</v>
      </c>
      <c r="C142" s="45" t="s">
        <v>107</v>
      </c>
      <c r="D142" s="45" t="s">
        <v>45</v>
      </c>
      <c r="E142" s="45" t="s">
        <v>42</v>
      </c>
      <c r="F142" s="79">
        <f>F143+F148+F151+F155</f>
        <v>10218.799999999999</v>
      </c>
      <c r="G142" s="79">
        <f>G143+G148+G151+G155</f>
        <v>10555.8</v>
      </c>
    </row>
    <row r="143" spans="1:7" ht="30">
      <c r="A143" s="78" t="s">
        <v>163</v>
      </c>
      <c r="B143" s="45" t="s">
        <v>109</v>
      </c>
      <c r="C143" s="45" t="s">
        <v>107</v>
      </c>
      <c r="D143" s="45" t="s">
        <v>164</v>
      </c>
      <c r="E143" s="45" t="s">
        <v>42</v>
      </c>
      <c r="F143" s="79">
        <f>F144</f>
        <v>631</v>
      </c>
      <c r="G143" s="79">
        <f>G144</f>
        <v>658</v>
      </c>
    </row>
    <row r="144" spans="1:7" ht="28.5">
      <c r="A144" s="73" t="s">
        <v>79</v>
      </c>
      <c r="B144" s="34" t="s">
        <v>109</v>
      </c>
      <c r="C144" s="34" t="s">
        <v>107</v>
      </c>
      <c r="D144" s="34" t="s">
        <v>165</v>
      </c>
      <c r="E144" s="34" t="s">
        <v>42</v>
      </c>
      <c r="F144" s="46">
        <f>F145+F146+F147</f>
        <v>631</v>
      </c>
      <c r="G144" s="46">
        <f>G145+G146+G147</f>
        <v>658</v>
      </c>
    </row>
    <row r="145" spans="1:7" ht="72">
      <c r="A145" s="35" t="s">
        <v>51</v>
      </c>
      <c r="B145" s="34" t="s">
        <v>109</v>
      </c>
      <c r="C145" s="34" t="s">
        <v>107</v>
      </c>
      <c r="D145" s="34" t="s">
        <v>165</v>
      </c>
      <c r="E145" s="31" t="s">
        <v>52</v>
      </c>
      <c r="F145" s="46">
        <f>Лист3!G156</f>
        <v>360</v>
      </c>
      <c r="G145" s="46">
        <f>Лист3!H156</f>
        <v>380</v>
      </c>
    </row>
    <row r="146" spans="1:7" ht="29.25">
      <c r="A146" s="35" t="s">
        <v>57</v>
      </c>
      <c r="B146" s="34" t="s">
        <v>109</v>
      </c>
      <c r="C146" s="34" t="s">
        <v>107</v>
      </c>
      <c r="D146" s="34" t="s">
        <v>165</v>
      </c>
      <c r="E146" s="31" t="s">
        <v>58</v>
      </c>
      <c r="F146" s="46">
        <f>Лист3!G157</f>
        <v>193</v>
      </c>
      <c r="G146" s="46">
        <f>Лист3!H157</f>
        <v>200</v>
      </c>
    </row>
    <row r="147" spans="1:7">
      <c r="A147" s="35" t="s">
        <v>59</v>
      </c>
      <c r="B147" s="34" t="s">
        <v>109</v>
      </c>
      <c r="C147" s="34" t="s">
        <v>107</v>
      </c>
      <c r="D147" s="34" t="s">
        <v>165</v>
      </c>
      <c r="E147" s="31" t="s">
        <v>60</v>
      </c>
      <c r="F147" s="46">
        <f>Лист3!G158</f>
        <v>78</v>
      </c>
      <c r="G147" s="46">
        <f>Лист3!H158</f>
        <v>78</v>
      </c>
    </row>
    <row r="148" spans="1:7">
      <c r="A148" s="89" t="s">
        <v>166</v>
      </c>
      <c r="B148" s="45" t="s">
        <v>109</v>
      </c>
      <c r="C148" s="45" t="s">
        <v>107</v>
      </c>
      <c r="D148" s="45" t="s">
        <v>167</v>
      </c>
      <c r="E148" s="45" t="s">
        <v>42</v>
      </c>
      <c r="F148" s="79">
        <f>F149</f>
        <v>1502</v>
      </c>
      <c r="G148" s="79">
        <f>G149</f>
        <v>1558</v>
      </c>
    </row>
    <row r="149" spans="1:7">
      <c r="A149" s="73" t="s">
        <v>168</v>
      </c>
      <c r="B149" s="34" t="s">
        <v>109</v>
      </c>
      <c r="C149" s="34" t="s">
        <v>107</v>
      </c>
      <c r="D149" s="34" t="s">
        <v>169</v>
      </c>
      <c r="E149" s="34" t="s">
        <v>42</v>
      </c>
      <c r="F149" s="46">
        <f>F150</f>
        <v>1502</v>
      </c>
      <c r="G149" s="46">
        <f>G150</f>
        <v>1558</v>
      </c>
    </row>
    <row r="150" spans="1:7" ht="29.25">
      <c r="A150" s="35" t="s">
        <v>57</v>
      </c>
      <c r="B150" s="34" t="s">
        <v>109</v>
      </c>
      <c r="C150" s="34" t="s">
        <v>107</v>
      </c>
      <c r="D150" s="34" t="s">
        <v>169</v>
      </c>
      <c r="E150" s="31" t="s">
        <v>58</v>
      </c>
      <c r="F150" s="46">
        <v>1502</v>
      </c>
      <c r="G150" s="46">
        <v>1558</v>
      </c>
    </row>
    <row r="151" spans="1:7" ht="90">
      <c r="A151" s="78" t="s">
        <v>170</v>
      </c>
      <c r="B151" s="45" t="s">
        <v>109</v>
      </c>
      <c r="C151" s="45" t="s">
        <v>107</v>
      </c>
      <c r="D151" s="45" t="s">
        <v>171</v>
      </c>
      <c r="E151" s="45" t="s">
        <v>42</v>
      </c>
      <c r="F151" s="79">
        <f>F152</f>
        <v>4270</v>
      </c>
      <c r="G151" s="79">
        <f>G152</f>
        <v>4341</v>
      </c>
    </row>
    <row r="152" spans="1:7" ht="29.25">
      <c r="A152" s="70" t="s">
        <v>79</v>
      </c>
      <c r="B152" s="34" t="s">
        <v>109</v>
      </c>
      <c r="C152" s="34" t="s">
        <v>107</v>
      </c>
      <c r="D152" s="34" t="s">
        <v>172</v>
      </c>
      <c r="E152" s="34" t="s">
        <v>42</v>
      </c>
      <c r="F152" s="46">
        <f>Лист3!G163</f>
        <v>4270</v>
      </c>
      <c r="G152" s="46">
        <f>Лист3!H163</f>
        <v>4341</v>
      </c>
    </row>
    <row r="153" spans="1:7" ht="72">
      <c r="A153" s="35" t="s">
        <v>51</v>
      </c>
      <c r="B153" s="34" t="s">
        <v>109</v>
      </c>
      <c r="C153" s="34" t="s">
        <v>107</v>
      </c>
      <c r="D153" s="34" t="s">
        <v>172</v>
      </c>
      <c r="E153" s="31" t="s">
        <v>52</v>
      </c>
      <c r="F153" s="46">
        <f>Лист3!G164</f>
        <v>3635</v>
      </c>
      <c r="G153" s="46">
        <f>Лист3!H164</f>
        <v>3806</v>
      </c>
    </row>
    <row r="154" spans="1:7" ht="29.25">
      <c r="A154" s="35" t="s">
        <v>57</v>
      </c>
      <c r="B154" s="34" t="s">
        <v>109</v>
      </c>
      <c r="C154" s="34" t="s">
        <v>107</v>
      </c>
      <c r="D154" s="34" t="s">
        <v>172</v>
      </c>
      <c r="E154" s="31" t="s">
        <v>58</v>
      </c>
      <c r="F154" s="46">
        <f>Лист3!G165</f>
        <v>635</v>
      </c>
      <c r="G154" s="46">
        <f>Лист3!H165</f>
        <v>535</v>
      </c>
    </row>
    <row r="155" spans="1:7">
      <c r="A155" s="89" t="s">
        <v>81</v>
      </c>
      <c r="B155" s="45" t="s">
        <v>109</v>
      </c>
      <c r="C155" s="45" t="s">
        <v>107</v>
      </c>
      <c r="D155" s="45" t="s">
        <v>82</v>
      </c>
      <c r="E155" s="45" t="s">
        <v>42</v>
      </c>
      <c r="F155" s="79">
        <f>F156</f>
        <v>3815.8</v>
      </c>
      <c r="G155" s="79">
        <f>G156</f>
        <v>3998.8</v>
      </c>
    </row>
    <row r="156" spans="1:7" ht="42.75">
      <c r="A156" s="73" t="s">
        <v>173</v>
      </c>
      <c r="B156" s="31" t="s">
        <v>109</v>
      </c>
      <c r="C156" s="31" t="s">
        <v>107</v>
      </c>
      <c r="D156" s="31" t="s">
        <v>174</v>
      </c>
      <c r="E156" s="45" t="s">
        <v>42</v>
      </c>
      <c r="F156" s="46">
        <f>F157</f>
        <v>3815.8</v>
      </c>
      <c r="G156" s="46">
        <f>G157</f>
        <v>3998.8</v>
      </c>
    </row>
    <row r="157" spans="1:7">
      <c r="A157" s="123" t="s">
        <v>134</v>
      </c>
      <c r="B157" s="116" t="s">
        <v>109</v>
      </c>
      <c r="C157" s="116" t="s">
        <v>107</v>
      </c>
      <c r="D157" s="116" t="s">
        <v>174</v>
      </c>
      <c r="E157" s="124" t="s">
        <v>135</v>
      </c>
      <c r="F157" s="117">
        <v>3815.8</v>
      </c>
      <c r="G157" s="117">
        <v>3998.8</v>
      </c>
    </row>
    <row r="158" spans="1:7" ht="30">
      <c r="A158" s="99" t="s">
        <v>182</v>
      </c>
      <c r="B158" s="113" t="s">
        <v>183</v>
      </c>
      <c r="C158" s="113" t="s">
        <v>184</v>
      </c>
      <c r="D158" s="113" t="s">
        <v>45</v>
      </c>
      <c r="E158" s="113" t="s">
        <v>42</v>
      </c>
      <c r="F158" s="114">
        <f>F159+F170</f>
        <v>28466</v>
      </c>
      <c r="G158" s="114">
        <f>G159+G170</f>
        <v>28563</v>
      </c>
    </row>
    <row r="159" spans="1:7">
      <c r="A159" s="89" t="s">
        <v>185</v>
      </c>
      <c r="B159" s="45" t="s">
        <v>183</v>
      </c>
      <c r="C159" s="45" t="s">
        <v>44</v>
      </c>
      <c r="D159" s="45" t="s">
        <v>45</v>
      </c>
      <c r="E159" s="45" t="s">
        <v>42</v>
      </c>
      <c r="F159" s="79">
        <f>F160</f>
        <v>27997</v>
      </c>
      <c r="G159" s="79">
        <f>G160</f>
        <v>28088</v>
      </c>
    </row>
    <row r="160" spans="1:7" ht="30">
      <c r="A160" s="89" t="s">
        <v>186</v>
      </c>
      <c r="B160" s="45" t="s">
        <v>183</v>
      </c>
      <c r="C160" s="45" t="s">
        <v>44</v>
      </c>
      <c r="D160" s="45" t="s">
        <v>78</v>
      </c>
      <c r="E160" s="45" t="s">
        <v>42</v>
      </c>
      <c r="F160" s="79">
        <f>F161+F164+F167</f>
        <v>27997</v>
      </c>
      <c r="G160" s="79">
        <f>G161+G164+G167</f>
        <v>28088</v>
      </c>
    </row>
    <row r="161" spans="1:7" ht="30">
      <c r="A161" s="89" t="s">
        <v>79</v>
      </c>
      <c r="B161" s="45" t="s">
        <v>183</v>
      </c>
      <c r="C161" s="45" t="s">
        <v>44</v>
      </c>
      <c r="D161" s="45" t="s">
        <v>80</v>
      </c>
      <c r="E161" s="45" t="s">
        <v>42</v>
      </c>
      <c r="F161" s="79">
        <f>F163</f>
        <v>13309</v>
      </c>
      <c r="G161" s="79">
        <f>G163</f>
        <v>13400</v>
      </c>
    </row>
    <row r="162" spans="1:7" ht="28.5">
      <c r="A162" s="73" t="s">
        <v>79</v>
      </c>
      <c r="B162" s="34" t="s">
        <v>183</v>
      </c>
      <c r="C162" s="34" t="s">
        <v>44</v>
      </c>
      <c r="D162" s="34" t="s">
        <v>78</v>
      </c>
      <c r="E162" s="34" t="s">
        <v>42</v>
      </c>
      <c r="F162" s="46">
        <f>F163</f>
        <v>13309</v>
      </c>
      <c r="G162" s="46">
        <f>G163</f>
        <v>13400</v>
      </c>
    </row>
    <row r="163" spans="1:7">
      <c r="A163" s="70" t="s">
        <v>134</v>
      </c>
      <c r="B163" s="34" t="s">
        <v>183</v>
      </c>
      <c r="C163" s="34" t="s">
        <v>44</v>
      </c>
      <c r="D163" s="34" t="s">
        <v>80</v>
      </c>
      <c r="E163" s="31" t="s">
        <v>135</v>
      </c>
      <c r="F163" s="46">
        <f>Лист3!G193</f>
        <v>13309</v>
      </c>
      <c r="G163" s="46">
        <f>Лист3!H193</f>
        <v>13400</v>
      </c>
    </row>
    <row r="164" spans="1:7">
      <c r="A164" s="89" t="s">
        <v>187</v>
      </c>
      <c r="B164" s="45" t="s">
        <v>183</v>
      </c>
      <c r="C164" s="45" t="s">
        <v>44</v>
      </c>
      <c r="D164" s="45" t="s">
        <v>188</v>
      </c>
      <c r="E164" s="45" t="s">
        <v>42</v>
      </c>
      <c r="F164" s="79">
        <f>F165</f>
        <v>3688</v>
      </c>
      <c r="G164" s="79">
        <f>G165</f>
        <v>3688</v>
      </c>
    </row>
    <row r="165" spans="1:7" ht="28.5">
      <c r="A165" s="73" t="s">
        <v>79</v>
      </c>
      <c r="B165" s="34" t="s">
        <v>183</v>
      </c>
      <c r="C165" s="34" t="s">
        <v>44</v>
      </c>
      <c r="D165" s="34" t="s">
        <v>189</v>
      </c>
      <c r="E165" s="34" t="s">
        <v>42</v>
      </c>
      <c r="F165" s="46">
        <f>F166</f>
        <v>3688</v>
      </c>
      <c r="G165" s="46">
        <f>G166</f>
        <v>3688</v>
      </c>
    </row>
    <row r="166" spans="1:7">
      <c r="A166" s="52" t="s">
        <v>134</v>
      </c>
      <c r="B166" s="34" t="s">
        <v>183</v>
      </c>
      <c r="C166" s="34" t="s">
        <v>44</v>
      </c>
      <c r="D166" s="34" t="s">
        <v>189</v>
      </c>
      <c r="E166" s="31" t="s">
        <v>135</v>
      </c>
      <c r="F166" s="46">
        <f>Лист3!G196</f>
        <v>3688</v>
      </c>
      <c r="G166" s="46">
        <f>Лист3!H196</f>
        <v>3688</v>
      </c>
    </row>
    <row r="167" spans="1:7">
      <c r="A167" s="89" t="s">
        <v>190</v>
      </c>
      <c r="B167" s="45" t="s">
        <v>183</v>
      </c>
      <c r="C167" s="45" t="s">
        <v>44</v>
      </c>
      <c r="D167" s="45" t="s">
        <v>191</v>
      </c>
      <c r="E167" s="45" t="s">
        <v>42</v>
      </c>
      <c r="F167" s="79">
        <f>F168</f>
        <v>11000</v>
      </c>
      <c r="G167" s="79">
        <f>G168</f>
        <v>11000</v>
      </c>
    </row>
    <row r="168" spans="1:7" ht="28.5">
      <c r="A168" s="73" t="s">
        <v>79</v>
      </c>
      <c r="B168" s="34" t="s">
        <v>183</v>
      </c>
      <c r="C168" s="34" t="s">
        <v>44</v>
      </c>
      <c r="D168" s="34" t="s">
        <v>192</v>
      </c>
      <c r="E168" s="34" t="s">
        <v>42</v>
      </c>
      <c r="F168" s="46">
        <f>F169</f>
        <v>11000</v>
      </c>
      <c r="G168" s="46">
        <f>G169</f>
        <v>11000</v>
      </c>
    </row>
    <row r="169" spans="1:7">
      <c r="A169" s="70" t="s">
        <v>134</v>
      </c>
      <c r="B169" s="34" t="s">
        <v>183</v>
      </c>
      <c r="C169" s="34" t="s">
        <v>44</v>
      </c>
      <c r="D169" s="34" t="s">
        <v>192</v>
      </c>
      <c r="E169" s="31" t="s">
        <v>135</v>
      </c>
      <c r="F169" s="46">
        <f>Лист3!G199</f>
        <v>11000</v>
      </c>
      <c r="G169" s="46">
        <f>Лист3!H199</f>
        <v>11000</v>
      </c>
    </row>
    <row r="170" spans="1:7" ht="30">
      <c r="A170" s="89" t="s">
        <v>193</v>
      </c>
      <c r="B170" s="45" t="s">
        <v>183</v>
      </c>
      <c r="C170" s="45" t="s">
        <v>68</v>
      </c>
      <c r="D170" s="45" t="s">
        <v>45</v>
      </c>
      <c r="E170" s="45" t="s">
        <v>42</v>
      </c>
      <c r="F170" s="79">
        <f>F171</f>
        <v>469</v>
      </c>
      <c r="G170" s="79">
        <f>G171</f>
        <v>475</v>
      </c>
    </row>
    <row r="171" spans="1:7" ht="72">
      <c r="A171" s="70" t="s">
        <v>170</v>
      </c>
      <c r="B171" s="34" t="s">
        <v>183</v>
      </c>
      <c r="C171" s="34" t="s">
        <v>68</v>
      </c>
      <c r="D171" s="34" t="s">
        <v>171</v>
      </c>
      <c r="E171" s="34" t="s">
        <v>42</v>
      </c>
      <c r="F171" s="46">
        <f>F172</f>
        <v>469</v>
      </c>
      <c r="G171" s="46">
        <f>G172</f>
        <v>475</v>
      </c>
    </row>
    <row r="172" spans="1:7" ht="29.25">
      <c r="A172" s="70" t="s">
        <v>79</v>
      </c>
      <c r="B172" s="34" t="s">
        <v>183</v>
      </c>
      <c r="C172" s="34" t="s">
        <v>68</v>
      </c>
      <c r="D172" s="34" t="s">
        <v>172</v>
      </c>
      <c r="E172" s="34" t="s">
        <v>42</v>
      </c>
      <c r="F172" s="46">
        <f>F173+F174</f>
        <v>469</v>
      </c>
      <c r="G172" s="46">
        <f>G173+G174</f>
        <v>475</v>
      </c>
    </row>
    <row r="173" spans="1:7" ht="72">
      <c r="A173" s="35" t="s">
        <v>51</v>
      </c>
      <c r="B173" s="34" t="s">
        <v>183</v>
      </c>
      <c r="C173" s="34" t="s">
        <v>194</v>
      </c>
      <c r="D173" s="34" t="s">
        <v>172</v>
      </c>
      <c r="E173" s="31" t="s">
        <v>52</v>
      </c>
      <c r="F173" s="46">
        <v>355</v>
      </c>
      <c r="G173" s="46">
        <v>360</v>
      </c>
    </row>
    <row r="174" spans="1:7" ht="29.25">
      <c r="A174" s="115" t="s">
        <v>57</v>
      </c>
      <c r="B174" s="125" t="s">
        <v>183</v>
      </c>
      <c r="C174" s="125" t="s">
        <v>194</v>
      </c>
      <c r="D174" s="125" t="s">
        <v>172</v>
      </c>
      <c r="E174" s="116" t="s">
        <v>58</v>
      </c>
      <c r="F174" s="117">
        <v>114</v>
      </c>
      <c r="G174" s="117">
        <v>115</v>
      </c>
    </row>
    <row r="175" spans="1:7">
      <c r="A175" s="112" t="s">
        <v>106</v>
      </c>
      <c r="B175" s="101" t="s">
        <v>107</v>
      </c>
      <c r="C175" s="101" t="s">
        <v>40</v>
      </c>
      <c r="D175" s="101" t="s">
        <v>45</v>
      </c>
      <c r="E175" s="101" t="s">
        <v>42</v>
      </c>
      <c r="F175" s="109">
        <f t="shared" ref="F175:G178" si="10">F176</f>
        <v>252.5</v>
      </c>
      <c r="G175" s="109">
        <f t="shared" si="10"/>
        <v>265.10000000000002</v>
      </c>
    </row>
    <row r="176" spans="1:7">
      <c r="A176" s="70" t="s">
        <v>108</v>
      </c>
      <c r="B176" s="34" t="s">
        <v>107</v>
      </c>
      <c r="C176" s="34" t="s">
        <v>109</v>
      </c>
      <c r="D176" s="34" t="s">
        <v>45</v>
      </c>
      <c r="E176" s="34" t="s">
        <v>42</v>
      </c>
      <c r="F176" s="46">
        <f t="shared" si="10"/>
        <v>252.5</v>
      </c>
      <c r="G176" s="46">
        <f t="shared" si="10"/>
        <v>265.10000000000002</v>
      </c>
    </row>
    <row r="177" spans="1:7">
      <c r="A177" s="73" t="s">
        <v>81</v>
      </c>
      <c r="B177" s="34" t="s">
        <v>107</v>
      </c>
      <c r="C177" s="34" t="s">
        <v>109</v>
      </c>
      <c r="D177" s="34" t="s">
        <v>82</v>
      </c>
      <c r="E177" s="34" t="s">
        <v>42</v>
      </c>
      <c r="F177" s="46">
        <f t="shared" si="10"/>
        <v>252.5</v>
      </c>
      <c r="G177" s="46">
        <f t="shared" si="10"/>
        <v>265.10000000000002</v>
      </c>
    </row>
    <row r="178" spans="1:7" ht="171.75">
      <c r="A178" s="93" t="s">
        <v>110</v>
      </c>
      <c r="B178" s="34" t="s">
        <v>107</v>
      </c>
      <c r="C178" s="34" t="s">
        <v>109</v>
      </c>
      <c r="D178" s="34" t="s">
        <v>111</v>
      </c>
      <c r="E178" s="34" t="s">
        <v>42</v>
      </c>
      <c r="F178" s="46">
        <f t="shared" si="10"/>
        <v>252.5</v>
      </c>
      <c r="G178" s="46">
        <f t="shared" si="10"/>
        <v>265.10000000000002</v>
      </c>
    </row>
    <row r="179" spans="1:7" ht="29.25">
      <c r="A179" s="115" t="s">
        <v>57</v>
      </c>
      <c r="B179" s="125" t="s">
        <v>107</v>
      </c>
      <c r="C179" s="125" t="s">
        <v>109</v>
      </c>
      <c r="D179" s="125" t="s">
        <v>111</v>
      </c>
      <c r="E179" s="116" t="s">
        <v>58</v>
      </c>
      <c r="F179" s="117">
        <v>252.5</v>
      </c>
      <c r="G179" s="117">
        <v>265.10000000000002</v>
      </c>
    </row>
    <row r="180" spans="1:7">
      <c r="A180" s="99" t="s">
        <v>175</v>
      </c>
      <c r="B180" s="101" t="s">
        <v>176</v>
      </c>
      <c r="C180" s="101" t="s">
        <v>40</v>
      </c>
      <c r="D180" s="101" t="s">
        <v>45</v>
      </c>
      <c r="E180" s="101" t="s">
        <v>42</v>
      </c>
      <c r="F180" s="109">
        <f>F181+F184</f>
        <v>6723.7</v>
      </c>
      <c r="G180" s="109">
        <f>G181+G184</f>
        <v>7019.7</v>
      </c>
    </row>
    <row r="181" spans="1:7">
      <c r="A181" s="94" t="s">
        <v>177</v>
      </c>
      <c r="B181" s="42" t="s">
        <v>176</v>
      </c>
      <c r="C181" s="42" t="s">
        <v>54</v>
      </c>
      <c r="D181" s="42" t="s">
        <v>45</v>
      </c>
      <c r="E181" s="42" t="s">
        <v>42</v>
      </c>
      <c r="F181" s="87">
        <f t="shared" ref="F181:G182" si="11">F182</f>
        <v>2994</v>
      </c>
      <c r="G181" s="87">
        <f t="shared" si="11"/>
        <v>2917</v>
      </c>
    </row>
    <row r="182" spans="1:7">
      <c r="A182" s="52" t="s">
        <v>178</v>
      </c>
      <c r="B182" s="36" t="s">
        <v>176</v>
      </c>
      <c r="C182" s="36" t="s">
        <v>54</v>
      </c>
      <c r="D182" s="31" t="s">
        <v>179</v>
      </c>
      <c r="E182" s="34" t="s">
        <v>42</v>
      </c>
      <c r="F182" s="51">
        <f t="shared" si="11"/>
        <v>2994</v>
      </c>
      <c r="G182" s="51">
        <f t="shared" si="11"/>
        <v>2917</v>
      </c>
    </row>
    <row r="183" spans="1:7">
      <c r="A183" s="52" t="s">
        <v>226</v>
      </c>
      <c r="B183" s="36" t="s">
        <v>176</v>
      </c>
      <c r="C183" s="36" t="s">
        <v>54</v>
      </c>
      <c r="D183" s="31" t="s">
        <v>179</v>
      </c>
      <c r="E183" s="31" t="s">
        <v>135</v>
      </c>
      <c r="F183" s="51">
        <f>6723.7-F184</f>
        <v>2994</v>
      </c>
      <c r="G183" s="51">
        <v>2917</v>
      </c>
    </row>
    <row r="184" spans="1:7">
      <c r="A184" s="133" t="s">
        <v>244</v>
      </c>
      <c r="B184" s="32" t="s">
        <v>176</v>
      </c>
      <c r="C184" s="32" t="s">
        <v>68</v>
      </c>
      <c r="D184" s="31" t="s">
        <v>41</v>
      </c>
      <c r="E184" s="31" t="s">
        <v>42</v>
      </c>
      <c r="F184" s="51">
        <f>F185</f>
        <v>3729.7</v>
      </c>
      <c r="G184" s="51">
        <f>G185</f>
        <v>4102.7</v>
      </c>
    </row>
    <row r="185" spans="1:7" ht="71.25">
      <c r="A185" s="133" t="s">
        <v>245</v>
      </c>
      <c r="B185" s="32" t="s">
        <v>176</v>
      </c>
      <c r="C185" s="32" t="s">
        <v>68</v>
      </c>
      <c r="D185" s="31" t="s">
        <v>246</v>
      </c>
      <c r="E185" s="31" t="s">
        <v>42</v>
      </c>
      <c r="F185" s="134">
        <f>F186</f>
        <v>3729.7</v>
      </c>
      <c r="G185" s="51">
        <f>G186</f>
        <v>4102.7</v>
      </c>
    </row>
    <row r="186" spans="1:7">
      <c r="A186" s="133" t="s">
        <v>247</v>
      </c>
      <c r="B186" s="32" t="s">
        <v>176</v>
      </c>
      <c r="C186" s="32" t="s">
        <v>68</v>
      </c>
      <c r="D186" s="31" t="s">
        <v>246</v>
      </c>
      <c r="E186" s="31" t="s">
        <v>248</v>
      </c>
      <c r="F186" s="134">
        <v>3729.7</v>
      </c>
      <c r="G186" s="51">
        <v>4102.7</v>
      </c>
    </row>
    <row r="187" spans="1:7">
      <c r="A187" s="95" t="s">
        <v>200</v>
      </c>
      <c r="B187" s="48" t="s">
        <v>72</v>
      </c>
      <c r="C187" s="48" t="s">
        <v>47</v>
      </c>
      <c r="D187" s="48" t="s">
        <v>45</v>
      </c>
      <c r="E187" s="48" t="s">
        <v>42</v>
      </c>
      <c r="F187" s="72">
        <f>F188</f>
        <v>660</v>
      </c>
      <c r="G187" s="72">
        <f>G188</f>
        <v>700</v>
      </c>
    </row>
    <row r="188" spans="1:7" ht="28.5">
      <c r="A188" s="73" t="s">
        <v>201</v>
      </c>
      <c r="B188" s="34" t="s">
        <v>72</v>
      </c>
      <c r="C188" s="34" t="s">
        <v>47</v>
      </c>
      <c r="D188" s="34" t="s">
        <v>202</v>
      </c>
      <c r="E188" s="34" t="s">
        <v>42</v>
      </c>
      <c r="F188" s="46">
        <f>F189</f>
        <v>660</v>
      </c>
      <c r="G188" s="46">
        <f>G189</f>
        <v>700</v>
      </c>
    </row>
    <row r="189" spans="1:7" ht="29.25">
      <c r="A189" s="123" t="s">
        <v>57</v>
      </c>
      <c r="B189" s="125" t="s">
        <v>72</v>
      </c>
      <c r="C189" s="125" t="s">
        <v>47</v>
      </c>
      <c r="D189" s="125" t="s">
        <v>202</v>
      </c>
      <c r="E189" s="116" t="s">
        <v>58</v>
      </c>
      <c r="F189" s="117">
        <v>660</v>
      </c>
      <c r="G189" s="117">
        <v>700</v>
      </c>
    </row>
    <row r="190" spans="1:7" ht="45">
      <c r="A190" s="151" t="s">
        <v>206</v>
      </c>
      <c r="B190" s="49" t="s">
        <v>207</v>
      </c>
      <c r="C190" s="49" t="s">
        <v>40</v>
      </c>
      <c r="D190" s="48" t="s">
        <v>45</v>
      </c>
      <c r="E190" s="48" t="s">
        <v>42</v>
      </c>
      <c r="F190" s="173">
        <f>F191</f>
        <v>82649.700000000012</v>
      </c>
      <c r="G190" s="187">
        <f>G191</f>
        <v>82685.600000000006</v>
      </c>
    </row>
    <row r="191" spans="1:7" ht="30">
      <c r="A191" s="141" t="s">
        <v>208</v>
      </c>
      <c r="B191" s="43" t="s">
        <v>207</v>
      </c>
      <c r="C191" s="43" t="s">
        <v>44</v>
      </c>
      <c r="D191" s="45" t="s">
        <v>45</v>
      </c>
      <c r="E191" s="45" t="s">
        <v>42</v>
      </c>
      <c r="F191" s="166">
        <f>F192+F201</f>
        <v>82649.700000000012</v>
      </c>
      <c r="G191" s="184">
        <f>G192+G201</f>
        <v>82685.600000000006</v>
      </c>
    </row>
    <row r="192" spans="1:7">
      <c r="A192" s="144" t="s">
        <v>209</v>
      </c>
      <c r="B192" s="36" t="s">
        <v>207</v>
      </c>
      <c r="C192" s="36" t="s">
        <v>44</v>
      </c>
      <c r="D192" s="34" t="s">
        <v>210</v>
      </c>
      <c r="E192" s="34" t="s">
        <v>42</v>
      </c>
      <c r="F192" s="83">
        <f>F196+F193</f>
        <v>82463.600000000006</v>
      </c>
      <c r="G192" s="185">
        <f>G193+G196</f>
        <v>82496.3</v>
      </c>
    </row>
    <row r="193" spans="1:7">
      <c r="A193" s="73" t="s">
        <v>209</v>
      </c>
      <c r="B193" s="36" t="s">
        <v>207</v>
      </c>
      <c r="C193" s="36" t="s">
        <v>44</v>
      </c>
      <c r="D193" s="34" t="s">
        <v>211</v>
      </c>
      <c r="E193" s="34" t="s">
        <v>42</v>
      </c>
      <c r="F193" s="83">
        <f>F194</f>
        <v>5861.7</v>
      </c>
      <c r="G193" s="185">
        <f>G194</f>
        <v>4586.8</v>
      </c>
    </row>
    <row r="194" spans="1:7" ht="28.5">
      <c r="A194" s="73" t="s">
        <v>212</v>
      </c>
      <c r="B194" s="36" t="s">
        <v>207</v>
      </c>
      <c r="C194" s="36" t="s">
        <v>44</v>
      </c>
      <c r="D194" s="34" t="s">
        <v>213</v>
      </c>
      <c r="E194" s="34" t="s">
        <v>42</v>
      </c>
      <c r="F194" s="83">
        <f>F195</f>
        <v>5861.7</v>
      </c>
      <c r="G194" s="185">
        <f>G195</f>
        <v>4586.8</v>
      </c>
    </row>
    <row r="195" spans="1:7">
      <c r="A195" s="73" t="s">
        <v>214</v>
      </c>
      <c r="B195" s="36" t="s">
        <v>207</v>
      </c>
      <c r="C195" s="36" t="s">
        <v>44</v>
      </c>
      <c r="D195" s="34" t="s">
        <v>213</v>
      </c>
      <c r="E195" s="34" t="s">
        <v>215</v>
      </c>
      <c r="F195" s="83">
        <v>5861.7</v>
      </c>
      <c r="G195" s="185">
        <f>4745.6-158.8</f>
        <v>4586.8</v>
      </c>
    </row>
    <row r="196" spans="1:7">
      <c r="A196" s="144" t="s">
        <v>209</v>
      </c>
      <c r="B196" s="36" t="s">
        <v>207</v>
      </c>
      <c r="C196" s="36" t="s">
        <v>44</v>
      </c>
      <c r="D196" s="34" t="s">
        <v>264</v>
      </c>
      <c r="E196" s="34" t="s">
        <v>42</v>
      </c>
      <c r="F196" s="83">
        <f>F197+F199</f>
        <v>76601.900000000009</v>
      </c>
      <c r="G196" s="83">
        <f>G197+G199</f>
        <v>77909.5</v>
      </c>
    </row>
    <row r="197" spans="1:7" ht="42.75">
      <c r="A197" s="144" t="s">
        <v>263</v>
      </c>
      <c r="B197" s="36" t="s">
        <v>207</v>
      </c>
      <c r="C197" s="36" t="s">
        <v>44</v>
      </c>
      <c r="D197" s="34" t="s">
        <v>262</v>
      </c>
      <c r="E197" s="34" t="s">
        <v>42</v>
      </c>
      <c r="F197" s="83">
        <f>F198</f>
        <v>76445.100000000006</v>
      </c>
      <c r="G197" s="185">
        <f>G198</f>
        <v>77750.7</v>
      </c>
    </row>
    <row r="198" spans="1:7">
      <c r="A198" s="144" t="s">
        <v>81</v>
      </c>
      <c r="B198" s="36" t="s">
        <v>207</v>
      </c>
      <c r="C198" s="36" t="s">
        <v>44</v>
      </c>
      <c r="D198" s="34" t="s">
        <v>262</v>
      </c>
      <c r="E198" s="34" t="s">
        <v>96</v>
      </c>
      <c r="F198" s="83">
        <v>76445.100000000006</v>
      </c>
      <c r="G198" s="185">
        <v>77750.7</v>
      </c>
    </row>
    <row r="199" spans="1:7" ht="42.75">
      <c r="A199" s="144" t="s">
        <v>263</v>
      </c>
      <c r="B199" s="36" t="s">
        <v>207</v>
      </c>
      <c r="C199" s="36" t="s">
        <v>44</v>
      </c>
      <c r="D199" s="34" t="s">
        <v>261</v>
      </c>
      <c r="E199" s="34" t="s">
        <v>42</v>
      </c>
      <c r="F199" s="83">
        <f>F200</f>
        <v>156.80000000000001</v>
      </c>
      <c r="G199" s="185">
        <f>G200</f>
        <v>158.80000000000001</v>
      </c>
    </row>
    <row r="200" spans="1:7">
      <c r="A200" s="144" t="s">
        <v>81</v>
      </c>
      <c r="B200" s="36" t="s">
        <v>207</v>
      </c>
      <c r="C200" s="36" t="s">
        <v>44</v>
      </c>
      <c r="D200" s="34" t="s">
        <v>261</v>
      </c>
      <c r="E200" s="34" t="s">
        <v>96</v>
      </c>
      <c r="F200" s="83">
        <v>156.80000000000001</v>
      </c>
      <c r="G200" s="185">
        <v>158.80000000000001</v>
      </c>
    </row>
    <row r="201" spans="1:7">
      <c r="A201" s="141" t="s">
        <v>216</v>
      </c>
      <c r="B201" s="44" t="s">
        <v>207</v>
      </c>
      <c r="C201" s="44" t="s">
        <v>47</v>
      </c>
      <c r="D201" s="45" t="s">
        <v>41</v>
      </c>
      <c r="E201" s="45" t="s">
        <v>42</v>
      </c>
      <c r="F201" s="166">
        <f>F202</f>
        <v>186.1</v>
      </c>
      <c r="G201" s="184">
        <f>G202</f>
        <v>189.3</v>
      </c>
    </row>
    <row r="202" spans="1:7">
      <c r="A202" s="141" t="s">
        <v>217</v>
      </c>
      <c r="B202" s="44" t="s">
        <v>207</v>
      </c>
      <c r="C202" s="44" t="s">
        <v>47</v>
      </c>
      <c r="D202" s="45" t="s">
        <v>218</v>
      </c>
      <c r="E202" s="45" t="s">
        <v>42</v>
      </c>
      <c r="F202" s="166">
        <f>F204</f>
        <v>186.1</v>
      </c>
      <c r="G202" s="184">
        <f>G204</f>
        <v>189.3</v>
      </c>
    </row>
    <row r="203" spans="1:7" ht="28.5">
      <c r="A203" s="144" t="s">
        <v>219</v>
      </c>
      <c r="B203" s="33" t="s">
        <v>207</v>
      </c>
      <c r="C203" s="33" t="s">
        <v>47</v>
      </c>
      <c r="D203" s="34" t="s">
        <v>220</v>
      </c>
      <c r="E203" s="34" t="s">
        <v>42</v>
      </c>
      <c r="F203" s="83">
        <f>F204</f>
        <v>186.1</v>
      </c>
      <c r="G203" s="185">
        <f>G204</f>
        <v>189.3</v>
      </c>
    </row>
    <row r="204" spans="1:7">
      <c r="A204" s="144" t="s">
        <v>221</v>
      </c>
      <c r="B204" s="33" t="s">
        <v>207</v>
      </c>
      <c r="C204" s="33" t="s">
        <v>47</v>
      </c>
      <c r="D204" s="34" t="s">
        <v>220</v>
      </c>
      <c r="E204" s="34" t="s">
        <v>222</v>
      </c>
      <c r="F204" s="84">
        <v>186.1</v>
      </c>
      <c r="G204" s="182">
        <v>189.3</v>
      </c>
    </row>
    <row r="205" spans="1:7">
      <c r="A205" s="99" t="s">
        <v>228</v>
      </c>
      <c r="B205" s="100" t="s">
        <v>229</v>
      </c>
      <c r="C205" s="100" t="s">
        <v>40</v>
      </c>
      <c r="D205" s="101" t="s">
        <v>45</v>
      </c>
      <c r="E205" s="101" t="s">
        <v>42</v>
      </c>
      <c r="F205" s="103">
        <f>F206</f>
        <v>9820</v>
      </c>
      <c r="G205" s="103">
        <f>G206</f>
        <v>19633</v>
      </c>
    </row>
    <row r="206" spans="1:7">
      <c r="A206" s="52" t="s">
        <v>228</v>
      </c>
      <c r="B206" s="38" t="s">
        <v>229</v>
      </c>
      <c r="C206" s="38" t="s">
        <v>229</v>
      </c>
      <c r="D206" s="31" t="s">
        <v>230</v>
      </c>
      <c r="E206" s="31" t="s">
        <v>42</v>
      </c>
      <c r="F206" s="84">
        <f>F207</f>
        <v>9820</v>
      </c>
      <c r="G206" s="84">
        <f>G207</f>
        <v>19633</v>
      </c>
    </row>
    <row r="207" spans="1:7">
      <c r="A207" s="52" t="s">
        <v>59</v>
      </c>
      <c r="B207" s="38" t="s">
        <v>229</v>
      </c>
      <c r="C207" s="38" t="s">
        <v>229</v>
      </c>
      <c r="D207" s="31" t="s">
        <v>230</v>
      </c>
      <c r="E207" s="31" t="s">
        <v>60</v>
      </c>
      <c r="F207" s="84">
        <v>9820</v>
      </c>
      <c r="G207" s="84">
        <v>19633</v>
      </c>
    </row>
    <row r="208" spans="1:7" ht="15.75" thickBot="1">
      <c r="A208" s="130" t="s">
        <v>20</v>
      </c>
      <c r="B208" s="131"/>
      <c r="C208" s="131"/>
      <c r="D208" s="131"/>
      <c r="E208" s="131"/>
      <c r="F208" s="132">
        <f>F7+F82+F106+F158+F180+F190+F187+F100+F86+F175+F205+F91</f>
        <v>531690.88</v>
      </c>
      <c r="G208" s="132">
        <f>G7+G82+G106+G158+G180+G190+G187+G100+G86+G175+G205+G91</f>
        <v>546460.60999999987</v>
      </c>
    </row>
    <row r="209" spans="1:7">
      <c r="A209" s="24"/>
      <c r="B209" s="25"/>
      <c r="C209" s="25"/>
      <c r="D209" s="25"/>
      <c r="E209" s="25"/>
      <c r="F209" s="26"/>
    </row>
    <row r="210" spans="1:7" ht="31.5">
      <c r="A210" s="10" t="s">
        <v>21</v>
      </c>
      <c r="B210" s="11"/>
      <c r="C210" s="11"/>
      <c r="D210" s="11"/>
      <c r="E210" s="12" t="s">
        <v>22</v>
      </c>
      <c r="F210" s="27"/>
    </row>
    <row r="211" spans="1:7">
      <c r="F211" s="19"/>
      <c r="G211" s="19"/>
    </row>
  </sheetData>
  <autoFilter ref="A6:G208">
    <filterColumn colId="1"/>
  </autoFilter>
  <mergeCells count="3">
    <mergeCell ref="A4:G4"/>
    <mergeCell ref="F1:G1"/>
    <mergeCell ref="F5:G5"/>
  </mergeCells>
  <pageMargins left="0.70866141732283472" right="0.70866141732283472" top="0" bottom="0" header="0.31496062992125984" footer="0.31496062992125984"/>
  <pageSetup paperSize="9" scale="6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cher-rfo1</dc:creator>
  <cp:lastModifiedBy>cher-rfo1</cp:lastModifiedBy>
  <cp:lastPrinted>2013-11-28T10:23:18Z</cp:lastPrinted>
  <dcterms:created xsi:type="dcterms:W3CDTF">2013-11-07T07:05:35Z</dcterms:created>
  <dcterms:modified xsi:type="dcterms:W3CDTF">2013-12-11T13:05:13Z</dcterms:modified>
</cp:coreProperties>
</file>